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91" documentId="13_ncr:1_{6E5A817A-3F27-44C5-8B51-85686859AB08}" xr6:coauthVersionLast="45" xr6:coauthVersionMax="45" xr10:uidLastSave="{7B54B644-B576-4A51-8917-6FC1DF446CCE}"/>
  <bookViews>
    <workbookView xWindow="-108" yWindow="-108" windowWidth="23256" windowHeight="12576" xr2:uid="{00000000-000D-0000-FFFF-FFFF00000000}"/>
  </bookViews>
  <sheets>
    <sheet name="Dry Installed Pump" sheetId="6" r:id="rId1"/>
    <sheet name="Submerged Installed Pump" sheetId="5" r:id="rId2"/>
    <sheet name="values" sheetId="2" state="hidden" r:id="rId3"/>
    <sheet name="Reference Tables" sheetId="3" r:id="rId4"/>
  </sheets>
  <definedNames>
    <definedName name="_xlnm.Print_Area" localSheetId="0">'Dry Installed Pump'!$A$1:$K$27</definedName>
    <definedName name="_xlnm.Print_Area" localSheetId="3">'Reference Tables'!$A$1:$L$55</definedName>
    <definedName name="_xlnm.Print_Area" localSheetId="1">'Submerged Installed Pump'!$A$1:$K$27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6" l="1"/>
  <c r="E7" i="6"/>
  <c r="E9" i="5"/>
  <c r="E7" i="5" l="1"/>
  <c r="I32" i="2"/>
  <c r="I31" i="2"/>
  <c r="I30" i="2"/>
  <c r="I26" i="2"/>
  <c r="I29" i="2"/>
  <c r="I28" i="2"/>
  <c r="I27" i="2"/>
  <c r="F31" i="2"/>
  <c r="F32" i="2"/>
  <c r="F30" i="2"/>
  <c r="F29" i="2"/>
  <c r="F28" i="2"/>
  <c r="F27" i="2"/>
  <c r="F26" i="2"/>
  <c r="C32" i="2"/>
  <c r="C31" i="2"/>
  <c r="C30" i="2"/>
  <c r="C29" i="2"/>
  <c r="C28" i="2"/>
  <c r="C27" i="2"/>
  <c r="C26" i="2"/>
  <c r="H5" i="2" l="1"/>
  <c r="G20" i="2"/>
  <c r="E5" i="6"/>
  <c r="H19" i="2"/>
  <c r="H15" i="2"/>
  <c r="H11" i="2"/>
  <c r="H7" i="2"/>
  <c r="H3" i="2"/>
  <c r="E6" i="6"/>
  <c r="AA6" i="2"/>
  <c r="AA42" i="2"/>
  <c r="AA38" i="2"/>
  <c r="AA34" i="2"/>
  <c r="AA30" i="2"/>
  <c r="AA26" i="2"/>
  <c r="AA22" i="2"/>
  <c r="AA18" i="2"/>
  <c r="AA14" i="2"/>
  <c r="AA10" i="2"/>
  <c r="E6" i="5"/>
  <c r="E8" i="5" s="1"/>
  <c r="H18" i="2"/>
  <c r="H14" i="2"/>
  <c r="H10" i="2"/>
  <c r="H6" i="2"/>
  <c r="AA45" i="2"/>
  <c r="AA41" i="2"/>
  <c r="AA37" i="2"/>
  <c r="AA33" i="2"/>
  <c r="AA29" i="2"/>
  <c r="AA25" i="2"/>
  <c r="AA21" i="2"/>
  <c r="AA17" i="2"/>
  <c r="AA13" i="2"/>
  <c r="AA9" i="2"/>
  <c r="H2" i="2"/>
  <c r="H17" i="2"/>
  <c r="H13" i="2"/>
  <c r="H9" i="2"/>
  <c r="AA44" i="2"/>
  <c r="AA40" i="2"/>
  <c r="AA36" i="2"/>
  <c r="AA32" i="2"/>
  <c r="AA28" i="2"/>
  <c r="AA24" i="2"/>
  <c r="AA20" i="2"/>
  <c r="AA16" i="2"/>
  <c r="AA12" i="2"/>
  <c r="AA8" i="2"/>
  <c r="E5" i="5"/>
  <c r="E4" i="6"/>
  <c r="E4" i="5"/>
  <c r="H20" i="2"/>
  <c r="H16" i="2"/>
  <c r="H12" i="2"/>
  <c r="H8" i="2"/>
  <c r="H4" i="2"/>
  <c r="AA43" i="2"/>
  <c r="AA39" i="2"/>
  <c r="AA35" i="2"/>
  <c r="AA31" i="2"/>
  <c r="AA27" i="2"/>
  <c r="AA23" i="2"/>
  <c r="AA19" i="2"/>
  <c r="AA15" i="2"/>
  <c r="AA11" i="2"/>
  <c r="AA7" i="2"/>
  <c r="G19" i="2"/>
  <c r="G5" i="2"/>
  <c r="G9" i="2"/>
  <c r="G13" i="2"/>
  <c r="G17" i="2"/>
  <c r="G2" i="2"/>
  <c r="G6" i="2"/>
  <c r="G10" i="2"/>
  <c r="G14" i="2"/>
  <c r="G18" i="2"/>
  <c r="G4" i="2"/>
  <c r="G8" i="2"/>
  <c r="G12" i="2"/>
  <c r="G16" i="2"/>
  <c r="G3" i="2"/>
  <c r="G7" i="2"/>
  <c r="G11" i="2"/>
  <c r="G15" i="2"/>
  <c r="E10" i="5" l="1"/>
  <c r="E8" i="6"/>
  <c r="E11" i="5"/>
  <c r="E10" i="6"/>
  <c r="E11" i="6" l="1"/>
  <c r="F11" i="6" s="1"/>
  <c r="E12" i="5"/>
  <c r="F12" i="5" s="1"/>
  <c r="F11" i="5"/>
  <c r="E12" i="6" l="1"/>
  <c r="F12" i="6" s="1"/>
</calcChain>
</file>

<file path=xl/sharedStrings.xml><?xml version="1.0" encoding="utf-8"?>
<sst xmlns="http://schemas.openxmlformats.org/spreadsheetml/2006/main" count="338" uniqueCount="224">
  <si>
    <t>NPSH Calculation</t>
  </si>
  <si>
    <t xml:space="preserve">Max Temperature (°C) </t>
  </si>
  <si>
    <t>Water Density (Kg/m3)</t>
  </si>
  <si>
    <t>Available Margin (m)</t>
  </si>
  <si>
    <t>Temperature</t>
  </si>
  <si>
    <t>Barometer</t>
  </si>
  <si>
    <t>Atmospheric Pressure</t>
  </si>
  <si>
    <t>Feet</t>
  </si>
  <si>
    <t>Meters</t>
  </si>
  <si>
    <t>C</t>
  </si>
  <si>
    <t>In. Hg.  Abs.</t>
  </si>
  <si>
    <t>mm Hg. Abs.</t>
  </si>
  <si>
    <t>PSI</t>
  </si>
  <si>
    <t>kPa</t>
  </si>
  <si>
    <t>35.58</t>
  </si>
  <si>
    <t>903.7</t>
  </si>
  <si>
    <t>17.48</t>
  </si>
  <si>
    <t>120.5</t>
  </si>
  <si>
    <t>35.00</t>
  </si>
  <si>
    <t>889.0</t>
  </si>
  <si>
    <t>17.19</t>
  </si>
  <si>
    <t>118.5</t>
  </si>
  <si>
    <t>34.42</t>
  </si>
  <si>
    <t>874.3</t>
  </si>
  <si>
    <t>16.9</t>
  </si>
  <si>
    <t>116.5</t>
  </si>
  <si>
    <t>33.84</t>
  </si>
  <si>
    <t>859.5</t>
  </si>
  <si>
    <t>16.62</t>
  </si>
  <si>
    <t>114.6</t>
  </si>
  <si>
    <t>33.27</t>
  </si>
  <si>
    <t>845.1</t>
  </si>
  <si>
    <t>16.34</t>
  </si>
  <si>
    <t>112.7</t>
  </si>
  <si>
    <t>32.70</t>
  </si>
  <si>
    <t>830.6</t>
  </si>
  <si>
    <t>16.06</t>
  </si>
  <si>
    <t>110.7</t>
  </si>
  <si>
    <t>32.14</t>
  </si>
  <si>
    <t>816.4</t>
  </si>
  <si>
    <t>15.78</t>
  </si>
  <si>
    <t>108.8</t>
  </si>
  <si>
    <t>31.58</t>
  </si>
  <si>
    <t>802.1</t>
  </si>
  <si>
    <t>15.51</t>
  </si>
  <si>
    <t>106.9</t>
  </si>
  <si>
    <t>31.02</t>
  </si>
  <si>
    <t>787.9</t>
  </si>
  <si>
    <t>15.23</t>
  </si>
  <si>
    <t>105.0</t>
  </si>
  <si>
    <t>30.47</t>
  </si>
  <si>
    <t>773.9</t>
  </si>
  <si>
    <t>14.96</t>
  </si>
  <si>
    <t>103.1</t>
  </si>
  <si>
    <t>29.92</t>
  </si>
  <si>
    <t>760.0</t>
  </si>
  <si>
    <t>101.33</t>
  </si>
  <si>
    <t>29.38</t>
  </si>
  <si>
    <t>746.3</t>
  </si>
  <si>
    <t>14.43</t>
  </si>
  <si>
    <t>99.49</t>
  </si>
  <si>
    <t>28.86</t>
  </si>
  <si>
    <t>733.0</t>
  </si>
  <si>
    <t>14.16</t>
  </si>
  <si>
    <t>0.996</t>
  </si>
  <si>
    <t>97.63</t>
  </si>
  <si>
    <t>28.33</t>
  </si>
  <si>
    <t>719.6</t>
  </si>
  <si>
    <t>13.91</t>
  </si>
  <si>
    <t>0.978</t>
  </si>
  <si>
    <t>95.91</t>
  </si>
  <si>
    <t>27.82</t>
  </si>
  <si>
    <t>706.6</t>
  </si>
  <si>
    <t>13.66</t>
  </si>
  <si>
    <t>0.960</t>
  </si>
  <si>
    <t>94.19</t>
  </si>
  <si>
    <t>27.32</t>
  </si>
  <si>
    <t>693.9</t>
  </si>
  <si>
    <t>13.41</t>
  </si>
  <si>
    <t>0.943</t>
  </si>
  <si>
    <t>92.46</t>
  </si>
  <si>
    <t>26.82</t>
  </si>
  <si>
    <t>681.2</t>
  </si>
  <si>
    <t>13.17</t>
  </si>
  <si>
    <t>0.926</t>
  </si>
  <si>
    <t>90.81</t>
  </si>
  <si>
    <t>26.33</t>
  </si>
  <si>
    <t>668.8</t>
  </si>
  <si>
    <t>12.93</t>
  </si>
  <si>
    <t>0.909</t>
  </si>
  <si>
    <t>89.15</t>
  </si>
  <si>
    <t>25.84</t>
  </si>
  <si>
    <t>656.3</t>
  </si>
  <si>
    <t>12.69</t>
  </si>
  <si>
    <t>0.892</t>
  </si>
  <si>
    <t>87.49</t>
  </si>
  <si>
    <t>25.37</t>
  </si>
  <si>
    <t>644.4</t>
  </si>
  <si>
    <t>12.46</t>
  </si>
  <si>
    <t>0.876</t>
  </si>
  <si>
    <t>85.91</t>
  </si>
  <si>
    <t>24.90</t>
  </si>
  <si>
    <t>632.5</t>
  </si>
  <si>
    <t>12.23</t>
  </si>
  <si>
    <t>0.86</t>
  </si>
  <si>
    <t>84.33</t>
  </si>
  <si>
    <t>23.99</t>
  </si>
  <si>
    <t>609.3</t>
  </si>
  <si>
    <t>11.78</t>
  </si>
  <si>
    <t>0.828</t>
  </si>
  <si>
    <t>81.22</t>
  </si>
  <si>
    <t>23.10</t>
  </si>
  <si>
    <t>586.7</t>
  </si>
  <si>
    <t>11.34</t>
  </si>
  <si>
    <t>0.797</t>
  </si>
  <si>
    <t>78.19</t>
  </si>
  <si>
    <t>22.23</t>
  </si>
  <si>
    <t>564.6</t>
  </si>
  <si>
    <t>10.91</t>
  </si>
  <si>
    <t>0.767</t>
  </si>
  <si>
    <t>75.22</t>
  </si>
  <si>
    <t>21.39</t>
  </si>
  <si>
    <t>543.3</t>
  </si>
  <si>
    <t>10.5</t>
  </si>
  <si>
    <t>0.738</t>
  </si>
  <si>
    <t>72.40</t>
  </si>
  <si>
    <t>20.58</t>
  </si>
  <si>
    <t>522.7</t>
  </si>
  <si>
    <t>10.1</t>
  </si>
  <si>
    <t>0.71</t>
  </si>
  <si>
    <t>69.64</t>
  </si>
  <si>
    <t>16.89</t>
  </si>
  <si>
    <t>429.0</t>
  </si>
  <si>
    <t>8.29</t>
  </si>
  <si>
    <t>0.583</t>
  </si>
  <si>
    <t>57.16</t>
  </si>
  <si>
    <t>13.76</t>
  </si>
  <si>
    <t>349.5</t>
  </si>
  <si>
    <t>6.76</t>
  </si>
  <si>
    <t>0.475</t>
  </si>
  <si>
    <t>46.61</t>
  </si>
  <si>
    <t>11.12</t>
  </si>
  <si>
    <t>282.4</t>
  </si>
  <si>
    <t>5.46</t>
  </si>
  <si>
    <t>0.384</t>
  </si>
  <si>
    <t>37.65</t>
  </si>
  <si>
    <t>226.1</t>
  </si>
  <si>
    <t>4.37</t>
  </si>
  <si>
    <t>0.307</t>
  </si>
  <si>
    <t>30.13</t>
  </si>
  <si>
    <t>7.06</t>
  </si>
  <si>
    <t>179.3</t>
  </si>
  <si>
    <t>3.47</t>
  </si>
  <si>
    <t>0.244</t>
  </si>
  <si>
    <t>23.93</t>
  </si>
  <si>
    <t>141.2</t>
  </si>
  <si>
    <t>2.73</t>
  </si>
  <si>
    <t>0.192</t>
  </si>
  <si>
    <t>18.82</t>
  </si>
  <si>
    <t>111.1</t>
  </si>
  <si>
    <t>2.15</t>
  </si>
  <si>
    <t>0.151</t>
  </si>
  <si>
    <t>14.82</t>
  </si>
  <si>
    <t>87.5</t>
  </si>
  <si>
    <t>1.69</t>
  </si>
  <si>
    <t>0.119</t>
  </si>
  <si>
    <t>11.65</t>
  </si>
  <si>
    <t>68.9</t>
  </si>
  <si>
    <t>1.33</t>
  </si>
  <si>
    <t>0.0935</t>
  </si>
  <si>
    <t>9.17</t>
  </si>
  <si>
    <t>54.2</t>
  </si>
  <si>
    <t>1.05</t>
  </si>
  <si>
    <t>0.0738</t>
  </si>
  <si>
    <t>7.24</t>
  </si>
  <si>
    <t>33.7</t>
  </si>
  <si>
    <t>0.651</t>
  </si>
  <si>
    <t>4.49</t>
  </si>
  <si>
    <t>0.8273</t>
  </si>
  <si>
    <t>21.0</t>
  </si>
  <si>
    <t>0.406</t>
  </si>
  <si>
    <t>2.80</t>
  </si>
  <si>
    <t>0.520</t>
  </si>
  <si>
    <t>13.2</t>
  </si>
  <si>
    <t>0.255</t>
  </si>
  <si>
    <t>1.76</t>
  </si>
  <si>
    <t>0.329</t>
  </si>
  <si>
    <t>8.36</t>
  </si>
  <si>
    <t>0.162</t>
  </si>
  <si>
    <t>1.12</t>
  </si>
  <si>
    <t>Calculation</t>
  </si>
  <si>
    <r>
      <t>H</t>
    </r>
    <r>
      <rPr>
        <vertAlign val="subscript"/>
        <sz val="11"/>
        <color theme="1"/>
        <rFont val="Calibri"/>
        <family val="2"/>
        <scheme val="minor"/>
      </rPr>
      <t>l</t>
    </r>
    <r>
      <rPr>
        <sz val="11"/>
        <color theme="1"/>
        <rFont val="Calibri"/>
        <family val="2"/>
        <scheme val="minor"/>
      </rPr>
      <t xml:space="preserve"> (m)</t>
    </r>
  </si>
  <si>
    <r>
      <t>NPSH</t>
    </r>
    <r>
      <rPr>
        <vertAlign val="subscript"/>
        <sz val="11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 (m)</t>
    </r>
  </si>
  <si>
    <t>Water surface level (m)</t>
  </si>
  <si>
    <t>Barometric Pressure vs. Altitude</t>
  </si>
  <si>
    <t>Altitude Above Sea
 Level</t>
  </si>
  <si>
    <r>
      <t>Kg / cm</t>
    </r>
    <r>
      <rPr>
        <vertAlign val="superscript"/>
        <sz val="11"/>
        <color theme="1"/>
        <rFont val="Arial"/>
        <family val="2"/>
      </rPr>
      <t>2</t>
    </r>
  </si>
  <si>
    <t>C3</t>
  </si>
  <si>
    <t>C2</t>
  </si>
  <si>
    <t>C1</t>
  </si>
  <si>
    <t>b</t>
  </si>
  <si>
    <t>C6</t>
  </si>
  <si>
    <t>C5</t>
  </si>
  <si>
    <t>C4</t>
  </si>
  <si>
    <t>T</t>
  </si>
  <si>
    <t>Vapor pressure</t>
  </si>
  <si>
    <t>Density</t>
  </si>
  <si>
    <t>V-T</t>
  </si>
  <si>
    <t>p-T</t>
  </si>
  <si>
    <t>Altitude Above Sea Level (m)</t>
  </si>
  <si>
    <r>
      <t>NPSH</t>
    </r>
    <r>
      <rPr>
        <b/>
        <vertAlign val="subscript"/>
        <sz val="11"/>
        <color theme="1"/>
        <rFont val="Calibri"/>
        <family val="2"/>
        <scheme val="minor"/>
      </rPr>
      <t>a</t>
    </r>
    <r>
      <rPr>
        <b/>
        <sz val="11"/>
        <color theme="1"/>
        <rFont val="Calibri"/>
        <family val="2"/>
        <scheme val="minor"/>
      </rPr>
      <t xml:space="preserve"> (m)</t>
    </r>
  </si>
  <si>
    <t>Suction line head loss (m)</t>
  </si>
  <si>
    <r>
      <t>S (H</t>
    </r>
    <r>
      <rPr>
        <vertAlign val="subscript"/>
        <sz val="11"/>
        <color theme="1"/>
        <rFont val="Calibri"/>
        <family val="2"/>
        <scheme val="minor"/>
      </rPr>
      <t>geo</t>
    </r>
    <r>
      <rPr>
        <sz val="11"/>
        <color theme="1"/>
        <rFont val="Calibri"/>
        <family val="2"/>
        <scheme val="minor"/>
      </rPr>
      <t xml:space="preserve"> ) (m)</t>
    </r>
  </si>
  <si>
    <t>Pump reference inlet Level (m)</t>
  </si>
  <si>
    <t>Atm pressure</t>
  </si>
  <si>
    <t>Ref: www.engineeringtoolbox.com</t>
  </si>
  <si>
    <r>
      <t>Atm. Pressure (P</t>
    </r>
    <r>
      <rPr>
        <sz val="8"/>
        <color theme="1"/>
        <rFont val="Calibri"/>
        <family val="2"/>
        <scheme val="minor"/>
      </rPr>
      <t>atm</t>
    </r>
    <r>
      <rPr>
        <sz val="11"/>
        <color theme="1"/>
        <rFont val="Calibri"/>
        <family val="2"/>
        <scheme val="minor"/>
      </rPr>
      <t>) (kPa)</t>
    </r>
  </si>
  <si>
    <r>
      <t>H</t>
    </r>
    <r>
      <rPr>
        <vertAlign val="subscript"/>
        <sz val="11"/>
        <color theme="1"/>
        <rFont val="Calibri"/>
        <family val="2"/>
        <scheme val="minor"/>
      </rPr>
      <t>atm</t>
    </r>
    <r>
      <rPr>
        <sz val="11"/>
        <color theme="1"/>
        <rFont val="Calibri"/>
        <family val="2"/>
        <scheme val="minor"/>
      </rPr>
      <t xml:space="preserve"> (m)</t>
    </r>
  </si>
  <si>
    <r>
      <t>Vapor Pressure (P</t>
    </r>
    <r>
      <rPr>
        <sz val="8"/>
        <color theme="1"/>
        <rFont val="Calibri"/>
        <family val="2"/>
        <scheme val="minor"/>
      </rPr>
      <t>vapor</t>
    </r>
    <r>
      <rPr>
        <sz val="11"/>
        <color theme="1"/>
        <rFont val="Calibri"/>
        <family val="2"/>
        <scheme val="minor"/>
      </rPr>
      <t>) (10</t>
    </r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Pa)</t>
    </r>
  </si>
  <si>
    <r>
      <t>H</t>
    </r>
    <r>
      <rPr>
        <vertAlign val="subscript"/>
        <sz val="11"/>
        <color theme="1"/>
        <rFont val="Calibri"/>
        <family val="2"/>
        <scheme val="minor"/>
      </rPr>
      <t>vapor</t>
    </r>
    <r>
      <rPr>
        <sz val="11"/>
        <color theme="1"/>
        <rFont val="Calibri"/>
        <family val="2"/>
        <scheme val="minor"/>
      </rPr>
      <t xml:space="preserve"> (m)</t>
    </r>
  </si>
  <si>
    <t>Suction side head loss (m)</t>
  </si>
  <si>
    <t>Input Data</t>
  </si>
  <si>
    <t>Data accuracy relevant margin (m)</t>
  </si>
  <si>
    <r>
      <rPr>
        <b/>
        <sz val="11"/>
        <color theme="1"/>
        <rFont val="Calibri"/>
        <family val="2"/>
        <scheme val="minor"/>
      </rPr>
      <t>Note:</t>
    </r>
    <r>
      <rPr>
        <sz val="11"/>
        <color theme="1"/>
        <rFont val="Calibri"/>
        <family val="2"/>
        <scheme val="minor"/>
      </rPr>
      <t xml:space="preserve">  - Results have been calculated for water medium. For other mediums density and vapor pressure would vary accordingly. 
           - NPSH</t>
    </r>
    <r>
      <rPr>
        <sz val="10"/>
        <color theme="1"/>
        <rFont val="Calibri"/>
        <family val="2"/>
        <scheme val="minor"/>
      </rPr>
      <t>r</t>
    </r>
    <r>
      <rPr>
        <sz val="11"/>
        <color theme="1"/>
        <rFont val="Calibri"/>
        <family val="2"/>
        <scheme val="minor"/>
      </rPr>
      <t xml:space="preserve"> would be recommended by pump manufaturer based on performed pump test according to ISO 9906.
           - Relevant margin has to be decided from case to case and would be dependednt on the accuracy of inputed data. (Less accuracy = Higher margin)
           - Its user's responsibility to check or validate the right input data.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</si>
</sst>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rgb="FF1A0B07"/>
      <name val="Arial"/>
      <family val="2"/>
    </font>
    <font>
      <vertAlign val="subscript"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vertAlign val="superscript"/>
      <sz val="11"/>
      <color theme="1"/>
      <name val="Arial"/>
      <family val="2"/>
    </font>
    <font>
      <vertAlign val="superscript"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theme="0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CFACC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 style="medium">
        <color rgb="FFAAAAAA"/>
      </left>
      <right/>
      <top style="medium">
        <color rgb="FFAAAAAA"/>
      </top>
      <bottom style="medium">
        <color rgb="FFAAAAAA"/>
      </bottom>
      <diagonal/>
    </border>
    <border>
      <left/>
      <right/>
      <top style="medium">
        <color rgb="FFAAAAAA"/>
      </top>
      <bottom style="medium">
        <color rgb="FFAAAAAA"/>
      </bottom>
      <diagonal/>
    </border>
    <border>
      <left/>
      <right style="medium">
        <color rgb="FFAAAAAA"/>
      </right>
      <top style="medium">
        <color rgb="FFAAAAAA"/>
      </top>
      <bottom style="medium">
        <color rgb="FFAAAAAA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AAAAAA"/>
      </top>
      <bottom/>
      <diagonal/>
    </border>
    <border>
      <left/>
      <right style="medium">
        <color rgb="FFAAAAAA"/>
      </right>
      <top style="medium">
        <color rgb="FFAAAAAA"/>
      </top>
      <bottom/>
      <diagonal/>
    </border>
    <border>
      <left style="medium">
        <color rgb="FFAAAAAA"/>
      </left>
      <right/>
      <top style="medium">
        <color rgb="FFAAAAAA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AAAAAA"/>
      </left>
      <right style="medium">
        <color rgb="FFAAAAAA"/>
      </right>
      <top style="medium">
        <color rgb="FFAAAAAA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vertical="center" wrapText="1"/>
    </xf>
    <xf numFmtId="2" fontId="0" fillId="0" borderId="8" xfId="0" applyNumberFormat="1" applyBorder="1" applyAlignment="1" applyProtection="1">
      <alignment horizontal="center" vertical="center"/>
    </xf>
    <xf numFmtId="2" fontId="0" fillId="0" borderId="17" xfId="0" applyNumberFormat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center" vertical="center" readingOrder="1"/>
    </xf>
    <xf numFmtId="2" fontId="3" fillId="3" borderId="4" xfId="0" applyNumberFormat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0" fontId="5" fillId="4" borderId="24" xfId="0" applyFont="1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0" fillId="7" borderId="9" xfId="0" applyFill="1" applyBorder="1" applyAlignment="1" applyProtection="1">
      <alignment horizontal="center" vertical="center"/>
    </xf>
    <xf numFmtId="0" fontId="0" fillId="7" borderId="10" xfId="0" applyFill="1" applyBorder="1" applyAlignment="1" applyProtection="1">
      <alignment horizontal="center" vertical="center"/>
    </xf>
    <xf numFmtId="0" fontId="1" fillId="2" borderId="10" xfId="0" applyFont="1" applyFill="1" applyBorder="1" applyAlignment="1" applyProtection="1">
      <alignment horizontal="center" vertical="center"/>
    </xf>
    <xf numFmtId="0" fontId="0" fillId="2" borderId="16" xfId="0" applyFill="1" applyBorder="1" applyAlignment="1" applyProtection="1">
      <alignment horizontal="center" vertical="center"/>
    </xf>
    <xf numFmtId="0" fontId="1" fillId="2" borderId="14" xfId="0" applyFont="1" applyFill="1" applyBorder="1" applyAlignment="1" applyProtection="1">
      <alignment horizontal="center" vertical="center"/>
    </xf>
    <xf numFmtId="0" fontId="3" fillId="3" borderId="27" xfId="0" applyFont="1" applyFill="1" applyBorder="1" applyAlignment="1">
      <alignment horizontal="center" vertical="center" wrapText="1"/>
    </xf>
    <xf numFmtId="0" fontId="0" fillId="2" borderId="19" xfId="0" applyFill="1" applyBorder="1" applyAlignment="1" applyProtection="1">
      <alignment horizontal="center" vertical="center"/>
    </xf>
    <xf numFmtId="165" fontId="0" fillId="4" borderId="12" xfId="0" applyNumberFormat="1" applyFill="1" applyBorder="1" applyAlignment="1" applyProtection="1">
      <alignment horizontal="center" vertical="center"/>
    </xf>
    <xf numFmtId="164" fontId="0" fillId="4" borderId="8" xfId="0" applyNumberFormat="1" applyFill="1" applyBorder="1" applyAlignment="1" applyProtection="1">
      <alignment horizontal="center" vertical="center"/>
    </xf>
    <xf numFmtId="4" fontId="0" fillId="4" borderId="8" xfId="0" applyNumberFormat="1" applyFill="1" applyBorder="1" applyAlignment="1" applyProtection="1">
      <alignment horizontal="center" vertical="center"/>
    </xf>
    <xf numFmtId="0" fontId="0" fillId="0" borderId="28" xfId="0" applyBorder="1" applyProtection="1"/>
    <xf numFmtId="0" fontId="0" fillId="0" borderId="24" xfId="0" applyBorder="1" applyAlignment="1" applyProtection="1">
      <alignment horizontal="center" vertical="center"/>
    </xf>
    <xf numFmtId="0" fontId="0" fillId="0" borderId="24" xfId="0" applyBorder="1" applyProtection="1"/>
    <xf numFmtId="0" fontId="0" fillId="0" borderId="29" xfId="0" applyBorder="1" applyProtection="1"/>
    <xf numFmtId="0" fontId="0" fillId="0" borderId="0" xfId="0" applyBorder="1" applyProtection="1"/>
    <xf numFmtId="0" fontId="0" fillId="0" borderId="30" xfId="0" applyBorder="1" applyProtection="1"/>
    <xf numFmtId="0" fontId="0" fillId="4" borderId="0" xfId="0" applyFill="1" applyBorder="1" applyAlignment="1" applyProtection="1">
      <alignment horizontal="center" vertical="center"/>
    </xf>
    <xf numFmtId="0" fontId="0" fillId="0" borderId="31" xfId="0" applyBorder="1" applyProtection="1"/>
    <xf numFmtId="0" fontId="0" fillId="0" borderId="0" xfId="0" applyBorder="1" applyAlignment="1" applyProtection="1">
      <alignment horizontal="center" vertical="center"/>
    </xf>
    <xf numFmtId="2" fontId="1" fillId="0" borderId="32" xfId="0" applyNumberFormat="1" applyFont="1" applyBorder="1" applyAlignment="1" applyProtection="1">
      <alignment horizontal="center" vertical="center"/>
    </xf>
    <xf numFmtId="2" fontId="5" fillId="0" borderId="33" xfId="0" applyNumberFormat="1" applyFont="1" applyBorder="1" applyAlignment="1" applyProtection="1">
      <alignment horizontal="center" vertical="center"/>
    </xf>
    <xf numFmtId="0" fontId="1" fillId="0" borderId="34" xfId="0" applyFont="1" applyBorder="1" applyAlignment="1" applyProtection="1">
      <alignment horizontal="center" vertical="center"/>
    </xf>
    <xf numFmtId="0" fontId="1" fillId="0" borderId="35" xfId="0" applyFont="1" applyBorder="1" applyAlignment="1" applyProtection="1">
      <alignment horizontal="center" vertical="center"/>
    </xf>
    <xf numFmtId="0" fontId="0" fillId="7" borderId="14" xfId="0" applyFill="1" applyBorder="1" applyAlignment="1" applyProtection="1">
      <alignment horizontal="center" vertical="center"/>
    </xf>
    <xf numFmtId="0" fontId="0" fillId="4" borderId="15" xfId="0" applyFill="1" applyBorder="1" applyAlignment="1" applyProtection="1">
      <alignment horizontal="center" vertical="center"/>
      <protection locked="0"/>
    </xf>
    <xf numFmtId="0" fontId="12" fillId="6" borderId="1" xfId="0" applyFont="1" applyFill="1" applyBorder="1" applyAlignment="1" applyProtection="1">
      <alignment horizontal="center" vertical="center"/>
    </xf>
    <xf numFmtId="0" fontId="2" fillId="6" borderId="2" xfId="0" applyFont="1" applyFill="1" applyBorder="1" applyAlignment="1" applyProtection="1">
      <alignment horizontal="center" vertical="center"/>
    </xf>
    <xf numFmtId="0" fontId="2" fillId="6" borderId="3" xfId="0" applyFont="1" applyFill="1" applyBorder="1" applyAlignment="1" applyProtection="1">
      <alignment horizontal="center" vertical="center"/>
    </xf>
    <xf numFmtId="0" fontId="5" fillId="7" borderId="1" xfId="0" applyFont="1" applyFill="1" applyBorder="1" applyAlignment="1" applyProtection="1">
      <alignment horizontal="center" vertical="center"/>
    </xf>
    <xf numFmtId="0" fontId="5" fillId="7" borderId="3" xfId="0" applyFont="1" applyFill="1" applyBorder="1" applyAlignment="1" applyProtection="1">
      <alignment horizontal="center" vertical="center"/>
    </xf>
    <xf numFmtId="0" fontId="5" fillId="2" borderId="18" xfId="0" applyFont="1" applyFill="1" applyBorder="1" applyAlignment="1" applyProtection="1">
      <alignment horizontal="center" vertical="center"/>
    </xf>
    <xf numFmtId="0" fontId="5" fillId="2" borderId="26" xfId="0" applyFont="1" applyFill="1" applyBorder="1" applyAlignment="1" applyProtection="1">
      <alignment horizontal="center" vertical="center"/>
    </xf>
    <xf numFmtId="0" fontId="0" fillId="0" borderId="1" xfId="0" applyBorder="1" applyAlignment="1" applyProtection="1">
      <alignment horizontal="left" vertical="center" wrapText="1"/>
    </xf>
    <xf numFmtId="0" fontId="0" fillId="0" borderId="2" xfId="0" applyBorder="1" applyAlignment="1" applyProtection="1">
      <alignment horizontal="left" vertical="center" wrapText="1"/>
    </xf>
    <xf numFmtId="0" fontId="0" fillId="0" borderId="3" xfId="0" applyBorder="1" applyAlignment="1" applyProtection="1">
      <alignment horizontal="left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 applyProtection="1">
      <alignment horizontal="center" vertical="center" wrapText="1"/>
    </xf>
    <xf numFmtId="0" fontId="7" fillId="2" borderId="7" xfId="0" applyFont="1" applyFill="1" applyBorder="1" applyAlignment="1" applyProtection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 applyProtection="1">
      <alignment horizontal="center" vertical="center"/>
    </xf>
    <xf numFmtId="0" fontId="7" fillId="2" borderId="20" xfId="0" applyFont="1" applyFill="1" applyBorder="1" applyAlignment="1" applyProtection="1">
      <alignment horizontal="center" vertical="center"/>
    </xf>
    <xf numFmtId="0" fontId="7" fillId="2" borderId="21" xfId="0" applyFont="1" applyFill="1" applyBorder="1" applyAlignment="1" applyProtection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25" xfId="0" applyFont="1" applyBorder="1" applyAlignment="1">
      <alignment horizontal="left"/>
    </xf>
    <xf numFmtId="0" fontId="11" fillId="0" borderId="23" xfId="0" applyFont="1" applyBorder="1" applyAlignment="1">
      <alignment horizontal="left"/>
    </xf>
  </cellXfs>
  <cellStyles count="1">
    <cellStyle name="Normal" xfId="0" builtinId="0"/>
  </cellStyles>
  <dxfs count="20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Medium9"/>
  <colors>
    <mruColors>
      <color rgb="FFFCFACC"/>
      <color rgb="FFFCEF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24431</xdr:colOff>
      <xdr:row>13</xdr:row>
      <xdr:rowOff>28576</xdr:rowOff>
    </xdr:from>
    <xdr:to>
      <xdr:col>3</xdr:col>
      <xdr:colOff>1237531</xdr:colOff>
      <xdr:row>25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431" y="3971926"/>
          <a:ext cx="4299200" cy="2390773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604629</xdr:colOff>
      <xdr:row>0</xdr:row>
      <xdr:rowOff>408260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891504" cy="408260"/>
        </a:xfrm>
        <a:prstGeom prst="rect">
          <a:avLst/>
        </a:prstGeom>
      </xdr:spPr>
    </xdr:pic>
    <xdr:clientData/>
  </xdr:twoCellAnchor>
  <xdr:twoCellAnchor>
    <xdr:from>
      <xdr:col>5</xdr:col>
      <xdr:colOff>869674</xdr:colOff>
      <xdr:row>1</xdr:row>
      <xdr:rowOff>281621</xdr:rowOff>
    </xdr:from>
    <xdr:to>
      <xdr:col>10</xdr:col>
      <xdr:colOff>567647</xdr:colOff>
      <xdr:row>9</xdr:row>
      <xdr:rowOff>250422</xdr:rowOff>
    </xdr:to>
    <xdr:grpSp>
      <xdr:nvGrpSpPr>
        <xdr:cNvPr id="19" name="Group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GrpSpPr/>
      </xdr:nvGrpSpPr>
      <xdr:grpSpPr>
        <a:xfrm>
          <a:off x="6687768" y="738821"/>
          <a:ext cx="3400397" cy="2281695"/>
          <a:chOff x="6079304" y="2477741"/>
          <a:chExt cx="3034584" cy="1897063"/>
        </a:xfrm>
      </xdr:grpSpPr>
      <xdr:pic>
        <xdr:nvPicPr>
          <xdr:cNvPr id="20" name="Picture 19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49012" y="2477741"/>
            <a:ext cx="2564876" cy="1897063"/>
          </a:xfrm>
          <a:prstGeom prst="rect">
            <a:avLst/>
          </a:prstGeom>
          <a:ln/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</xdr:pic>
      <xdr:cxnSp macro="">
        <xdr:nvCxnSpPr>
          <xdr:cNvPr id="21" name="Straight Connector 20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CxnSpPr>
            <a:endCxn id="24" idx="0"/>
          </xdr:cNvCxnSpPr>
        </xdr:nvCxnSpPr>
        <xdr:spPr>
          <a:xfrm flipH="1" flipV="1">
            <a:off x="6303240" y="3339650"/>
            <a:ext cx="2263140" cy="8573"/>
          </a:xfrm>
          <a:prstGeom prst="line">
            <a:avLst/>
          </a:prstGeom>
          <a:ln w="12700">
            <a:solidFill>
              <a:srgbClr val="FF0000"/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2" name="Straight Connector 21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CxnSpPr/>
        </xdr:nvCxnSpPr>
        <xdr:spPr>
          <a:xfrm flipH="1">
            <a:off x="6353356" y="3534379"/>
            <a:ext cx="1169653" cy="0"/>
          </a:xfrm>
          <a:prstGeom prst="line">
            <a:avLst/>
          </a:prstGeom>
          <a:ln w="12700"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Straight Arrow Connector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CxnSpPr/>
        </xdr:nvCxnSpPr>
        <xdr:spPr>
          <a:xfrm>
            <a:off x="6393685" y="3348222"/>
            <a:ext cx="0" cy="186157"/>
          </a:xfrm>
          <a:prstGeom prst="straightConnector1">
            <a:avLst/>
          </a:prstGeom>
          <a:ln w="12700">
            <a:headEnd type="triangl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4" name="TextBox 25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 txBox="1"/>
        </xdr:nvSpPr>
        <xdr:spPr>
          <a:xfrm>
            <a:off x="6079304" y="3339650"/>
            <a:ext cx="447873" cy="171634"/>
          </a:xfrm>
          <a:prstGeom prst="rect">
            <a:avLst/>
          </a:prstGeom>
          <a:noFill/>
          <a:ln w="12700">
            <a:noFill/>
          </a:ln>
        </xdr:spPr>
        <xdr:txBody>
          <a:bodyPr wrap="square" rtlCol="0">
            <a:spAutoFit/>
          </a:bodyPr>
          <a:lstStyle>
            <a:defPPr>
              <a:defRPr lang="da-DK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r>
              <a:rPr lang="en-US" b="1">
                <a:solidFill>
                  <a:srgbClr val="0070C0"/>
                </a:solidFill>
                <a:latin typeface="+mn-lt"/>
              </a:rPr>
              <a:t>S (-)</a:t>
            </a:r>
          </a:p>
        </xdr:txBody>
      </xdr:sp>
      <xdr:sp macro="" textlink="">
        <xdr:nvSpPr>
          <xdr:cNvPr id="25" name="Isosceles Triangle 24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/>
        </xdr:nvSpPr>
        <xdr:spPr>
          <a:xfrm flipV="1">
            <a:off x="7027536" y="3374709"/>
            <a:ext cx="174451" cy="153755"/>
          </a:xfrm>
          <a:prstGeom prst="triangl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da-DK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26" name="TextBox 27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 txBox="1"/>
        </xdr:nvSpPr>
        <xdr:spPr>
          <a:xfrm>
            <a:off x="7168202" y="3311159"/>
            <a:ext cx="847635" cy="369332"/>
          </a:xfrm>
          <a:prstGeom prst="rect">
            <a:avLst/>
          </a:prstGeom>
          <a:noFill/>
          <a:ln w="12700">
            <a:noFill/>
          </a:ln>
        </xdr:spPr>
        <xdr:txBody>
          <a:bodyPr wrap="square" rtlCol="0">
            <a:spAutoFit/>
          </a:bodyPr>
          <a:lstStyle>
            <a:defPPr>
              <a:defRPr lang="da-DK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r>
              <a:rPr lang="en-US" b="1">
                <a:solidFill>
                  <a:srgbClr val="0070C0"/>
                </a:solidFill>
                <a:latin typeface="+mn-lt"/>
              </a:rPr>
              <a:t>H</a:t>
            </a:r>
            <a:r>
              <a:rPr lang="en-US" b="1" baseline="-25000">
                <a:solidFill>
                  <a:srgbClr val="0070C0"/>
                </a:solidFill>
                <a:latin typeface="+mn-lt"/>
              </a:rPr>
              <a:t>atm</a:t>
            </a:r>
          </a:p>
        </xdr:txBody>
      </xdr:sp>
    </xdr:grpSp>
    <xdr:clientData/>
  </xdr:twoCellAnchor>
  <xdr:twoCellAnchor>
    <xdr:from>
      <xdr:col>6</xdr:col>
      <xdr:colOff>1</xdr:colOff>
      <xdr:row>12</xdr:row>
      <xdr:rowOff>108375</xdr:rowOff>
    </xdr:from>
    <xdr:to>
      <xdr:col>10</xdr:col>
      <xdr:colOff>571287</xdr:colOff>
      <xdr:row>24</xdr:row>
      <xdr:rowOff>7741</xdr:rowOff>
    </xdr:to>
    <xdr:grpSp>
      <xdr:nvGrpSpPr>
        <xdr:cNvPr id="27" name="Group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GrpSpPr/>
      </xdr:nvGrpSpPr>
      <xdr:grpSpPr>
        <a:xfrm>
          <a:off x="6804213" y="3748046"/>
          <a:ext cx="3287592" cy="2212260"/>
          <a:chOff x="5912647" y="138758"/>
          <a:chExt cx="3134235" cy="2159942"/>
        </a:xfrm>
      </xdr:grpSpPr>
      <xdr:pic>
        <xdr:nvPicPr>
          <xdr:cNvPr id="28" name="Picture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269114" y="138758"/>
            <a:ext cx="2777768" cy="2159942"/>
          </a:xfrm>
          <a:prstGeom prst="rect">
            <a:avLst/>
          </a:prstGeom>
          <a:ln/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</xdr:pic>
      <xdr:cxnSp macro="">
        <xdr:nvCxnSpPr>
          <xdr:cNvPr id="29" name="Straight Connector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CxnSpPr/>
        </xdr:nvCxnSpPr>
        <xdr:spPr>
          <a:xfrm flipH="1" flipV="1">
            <a:off x="6101813" y="1144633"/>
            <a:ext cx="2453773" cy="103"/>
          </a:xfrm>
          <a:prstGeom prst="line">
            <a:avLst/>
          </a:prstGeom>
          <a:ln w="12700">
            <a:solidFill>
              <a:schemeClr val="accent1">
                <a:lumMod val="75000"/>
              </a:schemeClr>
            </a:solidFill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0" name="Straight Connector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CxnSpPr/>
        </xdr:nvCxnSpPr>
        <xdr:spPr>
          <a:xfrm flipH="1" flipV="1">
            <a:off x="6079175" y="564592"/>
            <a:ext cx="1578823" cy="290"/>
          </a:xfrm>
          <a:prstGeom prst="line">
            <a:avLst/>
          </a:prstGeom>
          <a:ln w="12700"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Straight Arrow Connector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CxnSpPr/>
        </xdr:nvCxnSpPr>
        <xdr:spPr>
          <a:xfrm>
            <a:off x="6138333" y="564885"/>
            <a:ext cx="0" cy="579853"/>
          </a:xfrm>
          <a:prstGeom prst="straightConnector1">
            <a:avLst/>
          </a:prstGeom>
          <a:ln w="12700">
            <a:headEnd type="triangl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2" name="TextBox 13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 txBox="1"/>
        </xdr:nvSpPr>
        <xdr:spPr>
          <a:xfrm>
            <a:off x="5912647" y="709727"/>
            <a:ext cx="169000" cy="441633"/>
          </a:xfrm>
          <a:prstGeom prst="rect">
            <a:avLst/>
          </a:prstGeom>
          <a:noFill/>
          <a:ln w="12700">
            <a:noFill/>
          </a:ln>
        </xdr:spPr>
        <xdr:txBody>
          <a:bodyPr wrap="square" rtlCol="0">
            <a:spAutoFit/>
          </a:bodyPr>
          <a:lstStyle>
            <a:defPPr>
              <a:defRPr lang="da-DK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r>
              <a:rPr lang="en-US" b="1">
                <a:solidFill>
                  <a:srgbClr val="0070C0"/>
                </a:solidFill>
                <a:latin typeface="+mn-lt"/>
              </a:rPr>
              <a:t>S</a:t>
            </a:r>
          </a:p>
        </xdr:txBody>
      </xdr:sp>
      <xdr:sp macro="" textlink="">
        <xdr:nvSpPr>
          <xdr:cNvPr id="33" name="Isosceles Triangle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 flipV="1">
            <a:off x="6944631" y="411129"/>
            <a:ext cx="174451" cy="153755"/>
          </a:xfrm>
          <a:prstGeom prst="triangl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da-DK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34" name="TextBox 18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 txBox="1"/>
        </xdr:nvSpPr>
        <xdr:spPr>
          <a:xfrm>
            <a:off x="7099191" y="212491"/>
            <a:ext cx="847635" cy="368028"/>
          </a:xfrm>
          <a:prstGeom prst="rect">
            <a:avLst/>
          </a:prstGeom>
          <a:noFill/>
          <a:ln w="12700">
            <a:noFill/>
          </a:ln>
        </xdr:spPr>
        <xdr:txBody>
          <a:bodyPr wrap="square" rtlCol="0">
            <a:spAutoFit/>
          </a:bodyPr>
          <a:lstStyle>
            <a:defPPr>
              <a:defRPr lang="da-DK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r>
              <a:rPr lang="en-US" sz="1400" b="1">
                <a:solidFill>
                  <a:srgbClr val="0070C0"/>
                </a:solidFill>
                <a:latin typeface="+mn-lt"/>
              </a:rPr>
              <a:t>H</a:t>
            </a:r>
            <a:r>
              <a:rPr lang="en-US" sz="1400" b="1" baseline="-25000">
                <a:solidFill>
                  <a:srgbClr val="0070C0"/>
                </a:solidFill>
                <a:latin typeface="+mn-lt"/>
              </a:rPr>
              <a:t>atm</a:t>
            </a:r>
          </a:p>
        </xdr:txBody>
      </xdr:sp>
    </xdr:grpSp>
    <xdr:clientData/>
  </xdr:twoCellAnchor>
  <xdr:twoCellAnchor>
    <xdr:from>
      <xdr:col>7</xdr:col>
      <xdr:colOff>198777</xdr:colOff>
      <xdr:row>4</xdr:row>
      <xdr:rowOff>198797</xdr:rowOff>
    </xdr:from>
    <xdr:to>
      <xdr:col>9</xdr:col>
      <xdr:colOff>165646</xdr:colOff>
      <xdr:row>6</xdr:row>
      <xdr:rowOff>32925</xdr:rowOff>
    </xdr:to>
    <xdr:sp macro="" textlink="">
      <xdr:nvSpPr>
        <xdr:cNvPr id="35" name="TextBox 2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7421212" y="1548862"/>
          <a:ext cx="1192695" cy="447041"/>
        </a:xfrm>
        <a:prstGeom prst="rect">
          <a:avLst/>
        </a:prstGeom>
        <a:noFill/>
        <a:ln w="12700">
          <a:noFill/>
        </a:ln>
      </xdr:spPr>
      <xdr:txBody>
        <a:bodyPr wrap="square" rtlCol="0">
          <a:noAutofit/>
        </a:bodyPr>
        <a:lstStyle>
          <a:defPPr>
            <a:defRPr lang="da-DK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r>
            <a:rPr lang="en-US" b="1">
              <a:solidFill>
                <a:srgbClr val="0070C0"/>
              </a:solidFill>
              <a:latin typeface="+mn-lt"/>
            </a:rPr>
            <a:t>Pump Inlet level</a:t>
          </a:r>
          <a:endParaRPr lang="en-US" b="1" baseline="-25000">
            <a:solidFill>
              <a:srgbClr val="0070C0"/>
            </a:solidFill>
            <a:latin typeface="+mn-lt"/>
          </a:endParaRPr>
        </a:p>
      </xdr:txBody>
    </xdr:sp>
    <xdr:clientData/>
  </xdr:twoCellAnchor>
  <xdr:twoCellAnchor>
    <xdr:from>
      <xdr:col>7</xdr:col>
      <xdr:colOff>177240</xdr:colOff>
      <xdr:row>16</xdr:row>
      <xdr:rowOff>61304</xdr:rowOff>
    </xdr:from>
    <xdr:to>
      <xdr:col>9</xdr:col>
      <xdr:colOff>144109</xdr:colOff>
      <xdr:row>18</xdr:row>
      <xdr:rowOff>127345</xdr:rowOff>
    </xdr:to>
    <xdr:sp macro="" textlink="">
      <xdr:nvSpPr>
        <xdr:cNvPr id="36" name="TextBox 27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7399675" y="4641587"/>
          <a:ext cx="1192695" cy="447041"/>
        </a:xfrm>
        <a:prstGeom prst="rect">
          <a:avLst/>
        </a:prstGeom>
        <a:noFill/>
        <a:ln w="12700">
          <a:noFill/>
        </a:ln>
      </xdr:spPr>
      <xdr:txBody>
        <a:bodyPr wrap="square" rtlCol="0">
          <a:noAutofit/>
        </a:bodyPr>
        <a:lstStyle>
          <a:defPPr>
            <a:defRPr lang="da-DK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r>
            <a:rPr lang="en-US" b="1">
              <a:solidFill>
                <a:srgbClr val="0070C0"/>
              </a:solidFill>
              <a:latin typeface="+mn-lt"/>
            </a:rPr>
            <a:t>Pump Inlet level</a:t>
          </a:r>
          <a:endParaRPr lang="en-US" b="1" baseline="-25000">
            <a:solidFill>
              <a:srgbClr val="0070C0"/>
            </a:solidFill>
            <a:latin typeface="+mn-lt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24431</xdr:colOff>
      <xdr:row>13</xdr:row>
      <xdr:rowOff>28576</xdr:rowOff>
    </xdr:from>
    <xdr:to>
      <xdr:col>3</xdr:col>
      <xdr:colOff>1237531</xdr:colOff>
      <xdr:row>25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431" y="3962815"/>
          <a:ext cx="4302513" cy="2391602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604629</xdr:colOff>
      <xdr:row>0</xdr:row>
      <xdr:rowOff>408260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9897716" cy="408260"/>
        </a:xfrm>
        <a:prstGeom prst="rect">
          <a:avLst/>
        </a:prstGeom>
      </xdr:spPr>
    </xdr:pic>
    <xdr:clientData/>
  </xdr:twoCellAnchor>
  <xdr:twoCellAnchor>
    <xdr:from>
      <xdr:col>6</xdr:col>
      <xdr:colOff>108912</xdr:colOff>
      <xdr:row>1</xdr:row>
      <xdr:rowOff>93597</xdr:rowOff>
    </xdr:from>
    <xdr:to>
      <xdr:col>10</xdr:col>
      <xdr:colOff>583091</xdr:colOff>
      <xdr:row>9</xdr:row>
      <xdr:rowOff>49695</xdr:rowOff>
    </xdr:to>
    <xdr:grpSp>
      <xdr:nvGrpSpPr>
        <xdr:cNvPr id="20" name="Group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GrpSpPr/>
      </xdr:nvGrpSpPr>
      <xdr:grpSpPr>
        <a:xfrm>
          <a:off x="6913124" y="550797"/>
          <a:ext cx="3190485" cy="2268992"/>
          <a:chOff x="5398169" y="3845743"/>
          <a:chExt cx="3176336" cy="2245996"/>
        </a:xfrm>
      </xdr:grpSpPr>
      <xdr:pic>
        <xdr:nvPicPr>
          <xdr:cNvPr id="21" name="Picture 20">
            <a:extLst>
              <a:ext uri="{FF2B5EF4-FFF2-40B4-BE49-F238E27FC236}">
                <a16:creationId xmlns:a16="http://schemas.microsoft.com/office/drawing/2014/main" id="{00000000-0008-0000-0100-00001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036336" y="3851750"/>
            <a:ext cx="2538169" cy="2239989"/>
          </a:xfrm>
          <a:prstGeom prst="rect">
            <a:avLst/>
          </a:prstGeom>
          <a:ln/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</xdr:pic>
      <xdr:cxnSp macro="">
        <xdr:nvCxnSpPr>
          <xdr:cNvPr id="22" name="Straight Connector 21">
            <a:extLst>
              <a:ext uri="{FF2B5EF4-FFF2-40B4-BE49-F238E27FC236}">
                <a16:creationId xmlns:a16="http://schemas.microsoft.com/office/drawing/2014/main" id="{00000000-0008-0000-0100-000016000000}"/>
              </a:ext>
            </a:extLst>
          </xdr:cNvPr>
          <xdr:cNvCxnSpPr/>
        </xdr:nvCxnSpPr>
        <xdr:spPr>
          <a:xfrm flipH="1">
            <a:off x="5646823" y="5396857"/>
            <a:ext cx="1852863" cy="0"/>
          </a:xfrm>
          <a:prstGeom prst="line">
            <a:avLst/>
          </a:prstGeom>
          <a:ln w="12700"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3" name="Straight Connector 22">
            <a:extLst>
              <a:ext uri="{FF2B5EF4-FFF2-40B4-BE49-F238E27FC236}">
                <a16:creationId xmlns:a16="http://schemas.microsoft.com/office/drawing/2014/main" id="{00000000-0008-0000-0100-000017000000}"/>
              </a:ext>
            </a:extLst>
          </xdr:cNvPr>
          <xdr:cNvCxnSpPr/>
        </xdr:nvCxnSpPr>
        <xdr:spPr>
          <a:xfrm flipH="1">
            <a:off x="5646821" y="4201723"/>
            <a:ext cx="2141623" cy="0"/>
          </a:xfrm>
          <a:prstGeom prst="line">
            <a:avLst/>
          </a:prstGeom>
          <a:ln w="12700"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4" name="Straight Arrow Connector 23">
            <a:extLst>
              <a:ext uri="{FF2B5EF4-FFF2-40B4-BE49-F238E27FC236}">
                <a16:creationId xmlns:a16="http://schemas.microsoft.com/office/drawing/2014/main" id="{00000000-0008-0000-0100-000018000000}"/>
              </a:ext>
            </a:extLst>
          </xdr:cNvPr>
          <xdr:cNvCxnSpPr/>
        </xdr:nvCxnSpPr>
        <xdr:spPr>
          <a:xfrm>
            <a:off x="5674646" y="4193702"/>
            <a:ext cx="0" cy="1203155"/>
          </a:xfrm>
          <a:prstGeom prst="straightConnector1">
            <a:avLst/>
          </a:prstGeom>
          <a:ln w="12700">
            <a:headEnd type="triangl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" name="TextBox 19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 txBox="1"/>
        </xdr:nvSpPr>
        <xdr:spPr>
          <a:xfrm>
            <a:off x="5398169" y="4657572"/>
            <a:ext cx="248652" cy="425014"/>
          </a:xfrm>
          <a:prstGeom prst="rect">
            <a:avLst/>
          </a:prstGeom>
          <a:noFill/>
          <a:ln w="12700">
            <a:noFill/>
          </a:ln>
        </xdr:spPr>
        <xdr:txBody>
          <a:bodyPr wrap="square" rtlCol="0">
            <a:spAutoFit/>
          </a:bodyPr>
          <a:lstStyle>
            <a:defPPr>
              <a:defRPr lang="da-DK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r>
              <a:rPr lang="en-US" b="1">
                <a:solidFill>
                  <a:srgbClr val="0070C0"/>
                </a:solidFill>
                <a:latin typeface="+mn-lt"/>
              </a:rPr>
              <a:t>S</a:t>
            </a:r>
          </a:p>
        </xdr:txBody>
      </xdr:sp>
      <xdr:sp macro="" textlink="">
        <xdr:nvSpPr>
          <xdr:cNvPr id="26" name="Isosceles Triangle 25">
            <a:extLst>
              <a:ext uri="{FF2B5EF4-FFF2-40B4-BE49-F238E27FC236}">
                <a16:creationId xmlns:a16="http://schemas.microsoft.com/office/drawing/2014/main" id="{00000000-0008-0000-0100-00001A000000}"/>
              </a:ext>
            </a:extLst>
          </xdr:cNvPr>
          <xdr:cNvSpPr/>
        </xdr:nvSpPr>
        <xdr:spPr>
          <a:xfrm flipV="1">
            <a:off x="6501065" y="4086293"/>
            <a:ext cx="128337" cy="107408"/>
          </a:xfrm>
          <a:prstGeom prst="triangle">
            <a:avLst/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da-DK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n-US"/>
          </a:p>
        </xdr:txBody>
      </xdr:sp>
      <xdr:sp macro="" textlink="">
        <xdr:nvSpPr>
          <xdr:cNvPr id="27" name="TextBox 21">
            <a:extLst>
              <a:ext uri="{FF2B5EF4-FFF2-40B4-BE49-F238E27FC236}">
                <a16:creationId xmlns:a16="http://schemas.microsoft.com/office/drawing/2014/main" id="{00000000-0008-0000-0100-00001B000000}"/>
              </a:ext>
            </a:extLst>
          </xdr:cNvPr>
          <xdr:cNvSpPr txBox="1"/>
        </xdr:nvSpPr>
        <xdr:spPr>
          <a:xfrm>
            <a:off x="6477136" y="3845743"/>
            <a:ext cx="824916" cy="318761"/>
          </a:xfrm>
          <a:prstGeom prst="rect">
            <a:avLst/>
          </a:prstGeom>
          <a:noFill/>
          <a:ln w="12700">
            <a:noFill/>
          </a:ln>
        </xdr:spPr>
        <xdr:txBody>
          <a:bodyPr wrap="square" rtlCol="0">
            <a:spAutoFit/>
          </a:bodyPr>
          <a:lstStyle>
            <a:defPPr>
              <a:defRPr lang="da-DK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r>
              <a:rPr lang="en-US" sz="1200" b="1">
                <a:solidFill>
                  <a:srgbClr val="0070C0"/>
                </a:solidFill>
                <a:latin typeface="+mn-lt"/>
              </a:rPr>
              <a:t>H</a:t>
            </a:r>
            <a:r>
              <a:rPr lang="en-US" sz="1200" b="1" baseline="-25000">
                <a:solidFill>
                  <a:srgbClr val="0070C0"/>
                </a:solidFill>
                <a:latin typeface="+mn-lt"/>
              </a:rPr>
              <a:t>atm</a:t>
            </a:r>
          </a:p>
        </xdr:txBody>
      </xdr:sp>
    </xdr:grpSp>
    <xdr:clientData/>
  </xdr:twoCellAnchor>
  <xdr:twoCellAnchor>
    <xdr:from>
      <xdr:col>6</xdr:col>
      <xdr:colOff>117221</xdr:colOff>
      <xdr:row>10</xdr:row>
      <xdr:rowOff>99412</xdr:rowOff>
    </xdr:from>
    <xdr:to>
      <xdr:col>10</xdr:col>
      <xdr:colOff>577731</xdr:colOff>
      <xdr:row>24</xdr:row>
      <xdr:rowOff>107006</xdr:rowOff>
    </xdr:to>
    <xdr:grpSp>
      <xdr:nvGrpSpPr>
        <xdr:cNvPr id="28" name="Group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GrpSpPr/>
      </xdr:nvGrpSpPr>
      <xdr:grpSpPr>
        <a:xfrm>
          <a:off x="6921433" y="3147412"/>
          <a:ext cx="3176816" cy="2912159"/>
          <a:chOff x="7521651" y="2673803"/>
          <a:chExt cx="2277875" cy="2531644"/>
        </a:xfrm>
      </xdr:grpSpPr>
      <xdr:pic>
        <xdr:nvPicPr>
          <xdr:cNvPr id="29" name="Picture 28">
            <a:extLst>
              <a:ext uri="{FF2B5EF4-FFF2-40B4-BE49-F238E27FC236}">
                <a16:creationId xmlns:a16="http://schemas.microsoft.com/office/drawing/2014/main" id="{00000000-0008-0000-0100-00001D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971996" y="2673803"/>
            <a:ext cx="1827530" cy="2531644"/>
          </a:xfrm>
          <a:prstGeom prst="rect">
            <a:avLst/>
          </a:prstGeom>
          <a:ln/>
        </xdr:spPr>
        <xdr:style>
          <a:lnRef idx="1">
            <a:schemeClr val="accent5"/>
          </a:lnRef>
          <a:fillRef idx="2">
            <a:schemeClr val="accent5"/>
          </a:fillRef>
          <a:effectRef idx="1">
            <a:schemeClr val="accent5"/>
          </a:effectRef>
          <a:fontRef idx="minor">
            <a:schemeClr val="dk1"/>
          </a:fontRef>
        </xdr:style>
      </xdr:pic>
      <xdr:cxnSp macro="">
        <xdr:nvCxnSpPr>
          <xdr:cNvPr id="30" name="Straight Connector 29">
            <a:extLst>
              <a:ext uri="{FF2B5EF4-FFF2-40B4-BE49-F238E27FC236}">
                <a16:creationId xmlns:a16="http://schemas.microsoft.com/office/drawing/2014/main" id="{00000000-0008-0000-0100-00001E000000}"/>
              </a:ext>
            </a:extLst>
          </xdr:cNvPr>
          <xdr:cNvCxnSpPr/>
        </xdr:nvCxnSpPr>
        <xdr:spPr>
          <a:xfrm flipH="1" flipV="1">
            <a:off x="7700782" y="4822371"/>
            <a:ext cx="1716505" cy="2721"/>
          </a:xfrm>
          <a:prstGeom prst="line">
            <a:avLst/>
          </a:prstGeom>
          <a:ln w="12700"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1" name="Straight Connector 30">
            <a:extLst>
              <a:ext uri="{FF2B5EF4-FFF2-40B4-BE49-F238E27FC236}">
                <a16:creationId xmlns:a16="http://schemas.microsoft.com/office/drawing/2014/main" id="{00000000-0008-0000-0100-00001F000000}"/>
              </a:ext>
            </a:extLst>
          </xdr:cNvPr>
          <xdr:cNvCxnSpPr/>
        </xdr:nvCxnSpPr>
        <xdr:spPr>
          <a:xfrm flipH="1">
            <a:off x="7695341" y="3581400"/>
            <a:ext cx="1389111" cy="7263"/>
          </a:xfrm>
          <a:prstGeom prst="line">
            <a:avLst/>
          </a:prstGeom>
          <a:ln w="12700">
            <a:prstDash val="dash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32" name="Straight Arrow Connector 31">
            <a:extLst>
              <a:ext uri="{FF2B5EF4-FFF2-40B4-BE49-F238E27FC236}">
                <a16:creationId xmlns:a16="http://schemas.microsoft.com/office/drawing/2014/main" id="{00000000-0008-0000-0100-000020000000}"/>
              </a:ext>
            </a:extLst>
          </xdr:cNvPr>
          <xdr:cNvCxnSpPr/>
        </xdr:nvCxnSpPr>
        <xdr:spPr>
          <a:xfrm>
            <a:off x="7719340" y="3581693"/>
            <a:ext cx="3213" cy="1240678"/>
          </a:xfrm>
          <a:prstGeom prst="straightConnector1">
            <a:avLst/>
          </a:prstGeom>
          <a:ln w="12700">
            <a:headEnd type="triangle" w="med" len="med"/>
            <a:tailEnd type="triangle" w="med" len="med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33" name="TextBox 21">
            <a:extLst>
              <a:ext uri="{FF2B5EF4-FFF2-40B4-BE49-F238E27FC236}">
                <a16:creationId xmlns:a16="http://schemas.microsoft.com/office/drawing/2014/main" id="{00000000-0008-0000-0100-000021000000}"/>
              </a:ext>
            </a:extLst>
          </xdr:cNvPr>
          <xdr:cNvSpPr txBox="1"/>
        </xdr:nvSpPr>
        <xdr:spPr>
          <a:xfrm>
            <a:off x="8324850" y="3279321"/>
            <a:ext cx="714864" cy="276999"/>
          </a:xfrm>
          <a:prstGeom prst="rect">
            <a:avLst/>
          </a:prstGeom>
          <a:noFill/>
          <a:ln w="12700">
            <a:noFill/>
          </a:ln>
        </xdr:spPr>
        <xdr:txBody>
          <a:bodyPr wrap="square" rtlCol="0">
            <a:noAutofit/>
          </a:bodyPr>
          <a:lstStyle>
            <a:defPPr>
              <a:defRPr lang="da-DK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r>
              <a:rPr lang="en-US" sz="1200" b="1">
                <a:solidFill>
                  <a:srgbClr val="0070C0"/>
                </a:solidFill>
                <a:latin typeface="+mn-lt"/>
              </a:rPr>
              <a:t>H</a:t>
            </a:r>
            <a:r>
              <a:rPr lang="en-US" sz="1200" b="1" baseline="-25000">
                <a:solidFill>
                  <a:srgbClr val="0070C0"/>
                </a:solidFill>
                <a:latin typeface="+mn-lt"/>
              </a:rPr>
              <a:t>atm</a:t>
            </a:r>
          </a:p>
        </xdr:txBody>
      </xdr:sp>
      <xdr:sp macro="" textlink="">
        <xdr:nvSpPr>
          <xdr:cNvPr id="34" name="TextBox 19">
            <a:extLst>
              <a:ext uri="{FF2B5EF4-FFF2-40B4-BE49-F238E27FC236}">
                <a16:creationId xmlns:a16="http://schemas.microsoft.com/office/drawing/2014/main" id="{00000000-0008-0000-0100-000022000000}"/>
              </a:ext>
            </a:extLst>
          </xdr:cNvPr>
          <xdr:cNvSpPr txBox="1"/>
        </xdr:nvSpPr>
        <xdr:spPr>
          <a:xfrm>
            <a:off x="7521651" y="4063093"/>
            <a:ext cx="214481" cy="369332"/>
          </a:xfrm>
          <a:prstGeom prst="rect">
            <a:avLst/>
          </a:prstGeom>
          <a:noFill/>
          <a:ln w="12700">
            <a:noFill/>
          </a:ln>
        </xdr:spPr>
        <xdr:txBody>
          <a:bodyPr wrap="square" rtlCol="0">
            <a:noAutofit/>
          </a:bodyPr>
          <a:lstStyle>
            <a:defPPr>
              <a:defRPr lang="da-DK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5pPr>
            <a:lvl6pPr marL="22860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6pPr>
            <a:lvl7pPr marL="27432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7pPr>
            <a:lvl8pPr marL="32004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8pPr>
            <a:lvl9pPr marL="3657600" algn="l" defTabSz="914400" rtl="0" eaLnBrk="1" latinLnBrk="0" hangingPunct="1">
              <a:defRPr kern="1200">
                <a:solidFill>
                  <a:schemeClr val="tx1"/>
                </a:solidFill>
                <a:latin typeface="Arial" charset="0"/>
                <a:ea typeface="+mn-ea"/>
                <a:cs typeface="Arial" charset="0"/>
              </a:defRPr>
            </a:lvl9pPr>
          </a:lstStyle>
          <a:p>
            <a:r>
              <a:rPr lang="en-US" b="1">
                <a:solidFill>
                  <a:srgbClr val="0070C0"/>
                </a:solidFill>
                <a:latin typeface="+mn-lt"/>
              </a:rPr>
              <a:t>S</a:t>
            </a:r>
          </a:p>
        </xdr:txBody>
      </xdr:sp>
    </xdr:grpSp>
    <xdr:clientData/>
  </xdr:twoCellAnchor>
  <xdr:twoCellAnchor>
    <xdr:from>
      <xdr:col>5</xdr:col>
      <xdr:colOff>795108</xdr:colOff>
      <xdr:row>6</xdr:row>
      <xdr:rowOff>99400</xdr:rowOff>
    </xdr:from>
    <xdr:to>
      <xdr:col>7</xdr:col>
      <xdr:colOff>422390</xdr:colOff>
      <xdr:row>8</xdr:row>
      <xdr:rowOff>16354</xdr:rowOff>
    </xdr:to>
    <xdr:sp macro="" textlink="">
      <xdr:nvSpPr>
        <xdr:cNvPr id="35" name="TextBox 27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/>
      </xdr:nvSpPr>
      <xdr:spPr>
        <a:xfrm>
          <a:off x="6452130" y="2062378"/>
          <a:ext cx="1192695" cy="447041"/>
        </a:xfrm>
        <a:prstGeom prst="rect">
          <a:avLst/>
        </a:prstGeom>
        <a:noFill/>
        <a:ln w="12700">
          <a:noFill/>
        </a:ln>
      </xdr:spPr>
      <xdr:txBody>
        <a:bodyPr wrap="square" rtlCol="0">
          <a:noAutofit/>
        </a:bodyPr>
        <a:lstStyle>
          <a:defPPr>
            <a:defRPr lang="da-DK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r>
            <a:rPr lang="en-US" b="1">
              <a:solidFill>
                <a:srgbClr val="0070C0"/>
              </a:solidFill>
              <a:latin typeface="+mn-lt"/>
            </a:rPr>
            <a:t>Pump Inlet level</a:t>
          </a:r>
          <a:endParaRPr lang="en-US" b="1" baseline="-25000">
            <a:solidFill>
              <a:srgbClr val="0070C0"/>
            </a:solidFill>
            <a:latin typeface="+mn-lt"/>
          </a:endParaRPr>
        </a:p>
      </xdr:txBody>
    </xdr:sp>
    <xdr:clientData/>
  </xdr:twoCellAnchor>
  <xdr:twoCellAnchor>
    <xdr:from>
      <xdr:col>7</xdr:col>
      <xdr:colOff>323015</xdr:colOff>
      <xdr:row>20</xdr:row>
      <xdr:rowOff>173940</xdr:rowOff>
    </xdr:from>
    <xdr:to>
      <xdr:col>9</xdr:col>
      <xdr:colOff>289884</xdr:colOff>
      <xdr:row>23</xdr:row>
      <xdr:rowOff>49481</xdr:rowOff>
    </xdr:to>
    <xdr:sp macro="" textlink="">
      <xdr:nvSpPr>
        <xdr:cNvPr id="36" name="TextBox 27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 txBox="1"/>
      </xdr:nvSpPr>
      <xdr:spPr>
        <a:xfrm>
          <a:off x="7545450" y="5516223"/>
          <a:ext cx="1192695" cy="447041"/>
        </a:xfrm>
        <a:prstGeom prst="rect">
          <a:avLst/>
        </a:prstGeom>
        <a:noFill/>
        <a:ln w="12700">
          <a:noFill/>
        </a:ln>
      </xdr:spPr>
      <xdr:txBody>
        <a:bodyPr wrap="square" rtlCol="0">
          <a:noAutofit/>
        </a:bodyPr>
        <a:lstStyle>
          <a:defPPr>
            <a:defRPr lang="da-DK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Arial" charset="0"/>
            </a:defRPr>
          </a:lvl9pPr>
        </a:lstStyle>
        <a:p>
          <a:r>
            <a:rPr lang="en-US" b="1">
              <a:solidFill>
                <a:srgbClr val="0070C0"/>
              </a:solidFill>
              <a:latin typeface="+mn-lt"/>
            </a:rPr>
            <a:t>Pump Inlet level</a:t>
          </a:r>
          <a:endParaRPr lang="en-US" b="1" baseline="-25000">
            <a:solidFill>
              <a:srgbClr val="0070C0"/>
            </a:solidFill>
            <a:latin typeface="+mn-lt"/>
          </a:endParaRPr>
        </a:p>
      </xdr:txBody>
    </xdr:sp>
    <xdr:clientData/>
  </xdr:twoCellAnchor>
  <xdr:twoCellAnchor>
    <xdr:from>
      <xdr:col>8</xdr:col>
      <xdr:colOff>26086</xdr:colOff>
      <xdr:row>13</xdr:row>
      <xdr:rowOff>168141</xdr:rowOff>
    </xdr:from>
    <xdr:to>
      <xdr:col>8</xdr:col>
      <xdr:colOff>153672</xdr:colOff>
      <xdr:row>14</xdr:row>
      <xdr:rowOff>28864</xdr:rowOff>
    </xdr:to>
    <xdr:sp macro="" textlink="">
      <xdr:nvSpPr>
        <xdr:cNvPr id="37" name="Isosceles Triangle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 flipV="1">
          <a:off x="7861434" y="4118945"/>
          <a:ext cx="127586" cy="109202"/>
        </a:xfrm>
        <a:prstGeom prst="triangl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da-DK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9525</xdr:colOff>
      <xdr:row>3</xdr:row>
      <xdr:rowOff>28575</xdr:rowOff>
    </xdr:from>
    <xdr:to>
      <xdr:col>17</xdr:col>
      <xdr:colOff>28116</xdr:colOff>
      <xdr:row>27</xdr:row>
      <xdr:rowOff>123171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77150" y="600075"/>
          <a:ext cx="3676191" cy="52380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</xdr:row>
      <xdr:rowOff>0</xdr:rowOff>
    </xdr:from>
    <xdr:to>
      <xdr:col>12</xdr:col>
      <xdr:colOff>8376</xdr:colOff>
      <xdr:row>26</xdr:row>
      <xdr:rowOff>61466</xdr:rowOff>
    </xdr:to>
    <xdr:pic>
      <xdr:nvPicPr>
        <xdr:cNvPr id="42" name="Picture 4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77478" y="0"/>
          <a:ext cx="3676191" cy="5238096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12</xdr:col>
      <xdr:colOff>9525</xdr:colOff>
      <xdr:row>0</xdr:row>
      <xdr:rowOff>302448</xdr:rowOff>
    </xdr:to>
    <xdr:pic>
      <xdr:nvPicPr>
        <xdr:cNvPr id="43" name="Picture 4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"/>
          <a:ext cx="7324724" cy="3024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7"/>
  <sheetViews>
    <sheetView showGridLines="0" tabSelected="1" zoomScale="85" zoomScaleNormal="85" zoomScaleSheetLayoutView="115" workbookViewId="0">
      <selection activeCell="E12" sqref="E12"/>
    </sheetView>
  </sheetViews>
  <sheetFormatPr defaultRowHeight="14.4" x14ac:dyDescent="0.3"/>
  <cols>
    <col min="1" max="1" width="35.109375" bestFit="1" customWidth="1"/>
    <col min="2" max="2" width="10.109375" style="1" bestFit="1" customWidth="1"/>
    <col min="3" max="3" width="1" style="1" customWidth="1"/>
    <col min="4" max="4" width="29" bestFit="1" customWidth="1"/>
    <col min="5" max="5" width="9.5546875" bestFit="1" customWidth="1"/>
    <col min="6" max="6" width="14.33203125" customWidth="1"/>
    <col min="7" max="7" width="9.109375" customWidth="1"/>
    <col min="10" max="10" width="12.6640625" bestFit="1" customWidth="1"/>
    <col min="12" max="12" width="8.44140625" bestFit="1" customWidth="1"/>
  </cols>
  <sheetData>
    <row r="1" spans="1:11" ht="36" customHeight="1" thickBot="1" x14ac:dyDescent="0.35">
      <c r="A1" s="25"/>
      <c r="B1" s="26"/>
      <c r="C1" s="26"/>
      <c r="D1" s="27"/>
      <c r="E1" s="27"/>
      <c r="F1" s="27"/>
      <c r="G1" s="27"/>
      <c r="H1" s="27"/>
      <c r="I1" s="27"/>
      <c r="J1" s="27"/>
      <c r="K1" s="28"/>
    </row>
    <row r="2" spans="1:11" ht="27.75" customHeight="1" thickBot="1" x14ac:dyDescent="0.35">
      <c r="A2" s="40" t="s">
        <v>0</v>
      </c>
      <c r="B2" s="41"/>
      <c r="C2" s="41"/>
      <c r="D2" s="41"/>
      <c r="E2" s="42"/>
      <c r="F2" s="29"/>
      <c r="G2" s="29"/>
      <c r="H2" s="29"/>
      <c r="I2" s="29"/>
      <c r="J2" s="29"/>
      <c r="K2" s="30"/>
    </row>
    <row r="3" spans="1:11" ht="17.25" customHeight="1" thickBot="1" x14ac:dyDescent="0.35">
      <c r="A3" s="43" t="s">
        <v>221</v>
      </c>
      <c r="B3" s="44"/>
      <c r="C3" s="12"/>
      <c r="D3" s="45" t="s">
        <v>190</v>
      </c>
      <c r="E3" s="46"/>
      <c r="F3" s="29"/>
      <c r="G3" s="29"/>
      <c r="H3" s="29"/>
      <c r="I3" s="29"/>
      <c r="J3" s="29"/>
      <c r="K3" s="30"/>
    </row>
    <row r="4" spans="1:11" ht="25.5" customHeight="1" x14ac:dyDescent="0.3">
      <c r="A4" s="38" t="s">
        <v>1</v>
      </c>
      <c r="B4" s="39">
        <v>10</v>
      </c>
      <c r="C4" s="31"/>
      <c r="D4" s="21" t="s">
        <v>2</v>
      </c>
      <c r="E4" s="22">
        <f>values!F26*B4^6+values!F27*B4^5+values!F28*B4^4+values!F29*B4^3+values!F30*B4^2+values!F31*B4+values!F32</f>
        <v>999.68534009657083</v>
      </c>
      <c r="F4" s="29"/>
      <c r="G4" s="29"/>
      <c r="H4" s="29"/>
      <c r="I4" s="29"/>
      <c r="J4" s="29"/>
      <c r="K4" s="30"/>
    </row>
    <row r="5" spans="1:11" ht="24" customHeight="1" x14ac:dyDescent="0.3">
      <c r="A5" s="15" t="s">
        <v>209</v>
      </c>
      <c r="B5" s="13">
        <v>0</v>
      </c>
      <c r="C5" s="31"/>
      <c r="D5" s="7" t="s">
        <v>218</v>
      </c>
      <c r="E5" s="23">
        <f>values!C26*B4^6+values!C27*B4^5+values!C28*B4^4+values!C29*B4^3+values!C30*B4^2+values!C31*B4+values!C32</f>
        <v>1.2317226703122904E-2</v>
      </c>
      <c r="F5" s="29"/>
      <c r="G5" s="29"/>
      <c r="H5" s="29"/>
      <c r="I5" s="29"/>
      <c r="J5" s="29"/>
      <c r="K5" s="30"/>
    </row>
    <row r="6" spans="1:11" ht="24" customHeight="1" x14ac:dyDescent="0.3">
      <c r="A6" s="15" t="s">
        <v>213</v>
      </c>
      <c r="B6" s="13">
        <v>10</v>
      </c>
      <c r="C6" s="31"/>
      <c r="D6" s="7" t="s">
        <v>216</v>
      </c>
      <c r="E6" s="24">
        <f>values!I26*B5^6+values!I27*B5^5+values!I28*B5^4+values!I29*B5^3+values!I30*B5^2+values!I31*B5+values!I32</f>
        <v>101.25076772266934</v>
      </c>
      <c r="F6" s="29"/>
      <c r="G6" s="29"/>
      <c r="H6" s="29"/>
      <c r="I6" s="29"/>
      <c r="J6" s="29"/>
      <c r="K6" s="30"/>
    </row>
    <row r="7" spans="1:11" ht="21" customHeight="1" x14ac:dyDescent="0.3">
      <c r="A7" s="15" t="s">
        <v>193</v>
      </c>
      <c r="B7" s="13">
        <v>5</v>
      </c>
      <c r="C7" s="31"/>
      <c r="D7" s="7" t="s">
        <v>212</v>
      </c>
      <c r="E7" s="5">
        <f>B7-B6</f>
        <v>-5</v>
      </c>
      <c r="F7" s="29"/>
      <c r="G7" s="29"/>
      <c r="H7" s="29"/>
      <c r="I7" s="29"/>
      <c r="J7" s="29"/>
      <c r="K7" s="30"/>
    </row>
    <row r="8" spans="1:11" ht="21" customHeight="1" x14ac:dyDescent="0.3">
      <c r="A8" s="15" t="s">
        <v>211</v>
      </c>
      <c r="B8" s="13">
        <v>0.3</v>
      </c>
      <c r="C8" s="31"/>
      <c r="D8" s="7" t="s">
        <v>217</v>
      </c>
      <c r="E8" s="5">
        <f>E6*1000/(E4*9.81)</f>
        <v>10.324427860096186</v>
      </c>
      <c r="F8" s="29"/>
      <c r="G8" s="29"/>
      <c r="H8" s="29"/>
      <c r="I8" s="29"/>
      <c r="J8" s="29"/>
      <c r="K8" s="30"/>
    </row>
    <row r="9" spans="1:11" ht="22.5" customHeight="1" x14ac:dyDescent="0.3">
      <c r="A9" s="15" t="s">
        <v>192</v>
      </c>
      <c r="B9" s="13">
        <v>2.21</v>
      </c>
      <c r="C9" s="31"/>
      <c r="D9" s="7" t="s">
        <v>191</v>
      </c>
      <c r="E9" s="5">
        <f>B8</f>
        <v>0.3</v>
      </c>
      <c r="F9" s="29"/>
      <c r="G9" s="29"/>
      <c r="H9" s="29"/>
      <c r="I9" s="29"/>
      <c r="J9" s="29"/>
      <c r="K9" s="30"/>
    </row>
    <row r="10" spans="1:11" ht="21.75" customHeight="1" thickBot="1" x14ac:dyDescent="0.35">
      <c r="A10" s="16" t="s">
        <v>222</v>
      </c>
      <c r="B10" s="14">
        <v>1</v>
      </c>
      <c r="C10" s="31"/>
      <c r="D10" s="18" t="s">
        <v>219</v>
      </c>
      <c r="E10" s="6">
        <f>E5*100000/(E4*9.81)</f>
        <v>0.12559738695627756</v>
      </c>
      <c r="F10" s="29"/>
      <c r="G10" s="29"/>
      <c r="H10" s="29"/>
      <c r="I10" s="29"/>
      <c r="J10" s="29"/>
      <c r="K10" s="30"/>
    </row>
    <row r="11" spans="1:11" ht="24.75" customHeight="1" x14ac:dyDescent="0.3">
      <c r="A11" s="32"/>
      <c r="B11" s="33"/>
      <c r="C11" s="31"/>
      <c r="D11" s="19" t="s">
        <v>210</v>
      </c>
      <c r="E11" s="34">
        <f>E7+E8-E9-E10</f>
        <v>4.8988304731399088</v>
      </c>
      <c r="F11" s="36" t="str">
        <f xml:space="preserve"> IF(E11&gt;B9,"NPSHa&gt;NPSHr","NPSHa&lt;NPSHr")</f>
        <v>NPSHa&gt;NPSHr</v>
      </c>
      <c r="G11" s="29"/>
      <c r="H11" s="29"/>
      <c r="I11" s="29"/>
      <c r="J11" s="29"/>
      <c r="K11" s="30"/>
    </row>
    <row r="12" spans="1:11" ht="22.5" customHeight="1" thickBot="1" x14ac:dyDescent="0.35">
      <c r="A12" s="32"/>
      <c r="B12" s="33"/>
      <c r="C12" s="31"/>
      <c r="D12" s="17" t="s">
        <v>3</v>
      </c>
      <c r="E12" s="35">
        <f>E11-B9</f>
        <v>2.6888304731399089</v>
      </c>
      <c r="F12" s="37" t="str">
        <f xml:space="preserve"> IF(E12&gt;B10,"OK","Not OK")</f>
        <v>OK</v>
      </c>
      <c r="G12" s="29"/>
      <c r="H12" s="29"/>
      <c r="I12" s="29"/>
      <c r="J12" s="29"/>
      <c r="K12" s="30"/>
    </row>
    <row r="13" spans="1:11" ht="22.5" customHeight="1" x14ac:dyDescent="0.3">
      <c r="A13" s="32"/>
      <c r="B13" s="33"/>
      <c r="C13" s="33"/>
      <c r="D13" s="29"/>
      <c r="E13" s="29"/>
      <c r="F13" s="29"/>
      <c r="G13" s="29"/>
      <c r="H13" s="29"/>
      <c r="I13" s="29"/>
      <c r="J13" s="29"/>
      <c r="K13" s="30"/>
    </row>
    <row r="14" spans="1:11" ht="19.5" customHeight="1" x14ac:dyDescent="0.3">
      <c r="A14" s="32"/>
      <c r="B14" s="33"/>
      <c r="C14" s="33"/>
      <c r="D14" s="29"/>
      <c r="E14" s="29"/>
      <c r="F14" s="29"/>
      <c r="G14" s="29"/>
      <c r="H14" s="29"/>
      <c r="I14" s="29"/>
      <c r="J14" s="29"/>
      <c r="K14" s="30"/>
    </row>
    <row r="15" spans="1:11" x14ac:dyDescent="0.3">
      <c r="A15" s="32"/>
      <c r="B15" s="33"/>
      <c r="C15" s="33"/>
      <c r="D15" s="29"/>
      <c r="E15" s="29"/>
      <c r="F15" s="29"/>
      <c r="G15" s="29"/>
      <c r="H15" s="29"/>
      <c r="I15" s="29"/>
      <c r="J15" s="29"/>
      <c r="K15" s="30"/>
    </row>
    <row r="16" spans="1:11" x14ac:dyDescent="0.3">
      <c r="A16" s="32"/>
      <c r="B16" s="33"/>
      <c r="C16" s="33"/>
      <c r="D16" s="29"/>
      <c r="E16" s="29"/>
      <c r="F16" s="29"/>
      <c r="G16" s="29"/>
      <c r="H16" s="29"/>
      <c r="I16" s="29"/>
      <c r="J16" s="29"/>
      <c r="K16" s="30"/>
    </row>
    <row r="17" spans="1:11" x14ac:dyDescent="0.3">
      <c r="A17" s="32"/>
      <c r="B17" s="33"/>
      <c r="C17" s="33"/>
      <c r="D17" s="29"/>
      <c r="E17" s="29"/>
      <c r="F17" s="29"/>
      <c r="G17" s="29"/>
      <c r="H17" s="29"/>
      <c r="I17" s="29"/>
      <c r="J17" s="29"/>
      <c r="K17" s="30"/>
    </row>
    <row r="18" spans="1:11" x14ac:dyDescent="0.3">
      <c r="A18" s="32"/>
      <c r="B18" s="33"/>
      <c r="C18" s="33"/>
      <c r="D18" s="29"/>
      <c r="E18" s="29"/>
      <c r="F18" s="29"/>
      <c r="G18" s="29"/>
      <c r="H18" s="29"/>
      <c r="I18" s="29"/>
      <c r="J18" s="29"/>
      <c r="K18" s="30"/>
    </row>
    <row r="19" spans="1:11" x14ac:dyDescent="0.3">
      <c r="A19" s="32"/>
      <c r="B19" s="33"/>
      <c r="C19" s="33"/>
      <c r="D19" s="29"/>
      <c r="E19" s="29"/>
      <c r="F19" s="29"/>
      <c r="G19" s="29"/>
      <c r="H19" s="29"/>
      <c r="I19" s="29"/>
      <c r="J19" s="29"/>
      <c r="K19" s="30"/>
    </row>
    <row r="20" spans="1:11" x14ac:dyDescent="0.3">
      <c r="A20" s="32"/>
      <c r="B20" s="33"/>
      <c r="C20" s="33"/>
      <c r="D20" s="29"/>
      <c r="E20" s="29"/>
      <c r="F20" s="29"/>
      <c r="G20" s="29"/>
      <c r="H20" s="29"/>
      <c r="I20" s="29"/>
      <c r="J20" s="29"/>
      <c r="K20" s="30"/>
    </row>
    <row r="21" spans="1:11" x14ac:dyDescent="0.3">
      <c r="A21" s="32"/>
      <c r="B21" s="33"/>
      <c r="C21" s="33"/>
      <c r="D21" s="29"/>
      <c r="E21" s="29"/>
      <c r="F21" s="29"/>
      <c r="G21" s="29"/>
      <c r="H21" s="29"/>
      <c r="I21" s="29"/>
      <c r="J21" s="29"/>
      <c r="K21" s="30"/>
    </row>
    <row r="22" spans="1:11" x14ac:dyDescent="0.3">
      <c r="A22" s="32"/>
      <c r="B22" s="33"/>
      <c r="C22" s="33"/>
      <c r="D22" s="29"/>
      <c r="E22" s="29"/>
      <c r="F22" s="29"/>
      <c r="G22" s="29"/>
      <c r="H22" s="29"/>
      <c r="I22" s="29"/>
      <c r="J22" s="29"/>
      <c r="K22" s="30"/>
    </row>
    <row r="23" spans="1:11" x14ac:dyDescent="0.3">
      <c r="A23" s="32"/>
      <c r="B23" s="33"/>
      <c r="C23" s="33"/>
      <c r="D23" s="29"/>
      <c r="E23" s="29"/>
      <c r="F23" s="29"/>
      <c r="G23" s="29"/>
      <c r="H23" s="29"/>
      <c r="I23" s="29"/>
      <c r="J23" s="29"/>
      <c r="K23" s="30"/>
    </row>
    <row r="24" spans="1:11" x14ac:dyDescent="0.3">
      <c r="A24" s="32"/>
      <c r="B24" s="33"/>
      <c r="C24" s="33"/>
      <c r="D24" s="29"/>
      <c r="E24" s="29"/>
      <c r="F24" s="29"/>
      <c r="G24" s="29"/>
      <c r="H24" s="29"/>
      <c r="I24" s="29"/>
      <c r="J24" s="29"/>
      <c r="K24" s="30"/>
    </row>
    <row r="25" spans="1:11" x14ac:dyDescent="0.3">
      <c r="A25" s="32"/>
      <c r="B25" s="33"/>
      <c r="C25" s="33"/>
      <c r="D25" s="29"/>
      <c r="E25" s="29"/>
      <c r="F25" s="29"/>
      <c r="G25" s="29"/>
      <c r="H25" s="29"/>
      <c r="I25" s="29"/>
      <c r="J25" s="29"/>
      <c r="K25" s="30"/>
    </row>
    <row r="26" spans="1:11" ht="31.5" customHeight="1" thickBot="1" x14ac:dyDescent="0.35">
      <c r="A26" s="32"/>
      <c r="B26" s="33"/>
      <c r="C26" s="33"/>
      <c r="D26" s="29"/>
      <c r="E26" s="29"/>
      <c r="F26" s="29"/>
      <c r="G26" s="29"/>
      <c r="H26" s="29"/>
      <c r="I26" s="29"/>
      <c r="J26" s="29"/>
      <c r="K26" s="30"/>
    </row>
    <row r="27" spans="1:11" ht="80.25" customHeight="1" thickBot="1" x14ac:dyDescent="0.35">
      <c r="A27" s="47" t="s">
        <v>223</v>
      </c>
      <c r="B27" s="48"/>
      <c r="C27" s="48"/>
      <c r="D27" s="48"/>
      <c r="E27" s="48"/>
      <c r="F27" s="48"/>
      <c r="G27" s="48"/>
      <c r="H27" s="48"/>
      <c r="I27" s="48"/>
      <c r="J27" s="48"/>
      <c r="K27" s="49"/>
    </row>
  </sheetData>
  <sheetProtection password="D1C7" sheet="1" objects="1" scenarios="1"/>
  <mergeCells count="4">
    <mergeCell ref="A2:E2"/>
    <mergeCell ref="A3:B3"/>
    <mergeCell ref="D3:E3"/>
    <mergeCell ref="A27:K27"/>
  </mergeCells>
  <conditionalFormatting sqref="F11">
    <cfRule type="cellIs" dxfId="19" priority="1" operator="equal">
      <formula>"NPSHa&lt;NPSHr"</formula>
    </cfRule>
    <cfRule type="cellIs" dxfId="18" priority="2" operator="equal">
      <formula>"NPSHa&gt;NPSHr"</formula>
    </cfRule>
    <cfRule type="containsText" dxfId="17" priority="7" operator="containsText" text="Not OK">
      <formula>NOT(ISERROR(SEARCH("Not OK",F11)))</formula>
    </cfRule>
    <cfRule type="containsText" dxfId="16" priority="8" operator="containsText" text="OK">
      <formula>NOT(ISERROR(SEARCH("OK",F11)))</formula>
    </cfRule>
  </conditionalFormatting>
  <conditionalFormatting sqref="E12">
    <cfRule type="cellIs" dxfId="15" priority="9" operator="lessThan">
      <formula>$B$10</formula>
    </cfRule>
    <cfRule type="cellIs" dxfId="14" priority="10" operator="greaterThan">
      <formula>$B$10</formula>
    </cfRule>
  </conditionalFormatting>
  <conditionalFormatting sqref="E11">
    <cfRule type="cellIs" dxfId="13" priority="5" operator="lessThan">
      <formula>$B$9</formula>
    </cfRule>
    <cfRule type="cellIs" dxfId="12" priority="6" operator="greaterThan">
      <formula>$B$9</formula>
    </cfRule>
  </conditionalFormatting>
  <conditionalFormatting sqref="F12">
    <cfRule type="containsText" dxfId="11" priority="3" operator="containsText" text="Not OK">
      <formula>NOT(ISERROR(SEARCH("Not OK",F12)))</formula>
    </cfRule>
    <cfRule type="containsText" dxfId="10" priority="4" operator="containsText" text="OK">
      <formula>NOT(ISERROR(SEARCH("OK",F12)))</formula>
    </cfRule>
  </conditionalFormatting>
  <pageMargins left="0.70866141732283472" right="0.70866141732283472" top="0.74803149606299213" bottom="0.74803149606299213" header="0.31496062992125984" footer="0.31496062992125984"/>
  <pageSetup paperSize="9" scale="83" orientation="landscape" r:id="rId1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7"/>
  <sheetViews>
    <sheetView showGridLines="0" zoomScale="85" zoomScaleNormal="85" zoomScaleSheetLayoutView="115" workbookViewId="0">
      <selection activeCell="E7" sqref="E7"/>
    </sheetView>
  </sheetViews>
  <sheetFormatPr defaultRowHeight="14.4" x14ac:dyDescent="0.3"/>
  <cols>
    <col min="1" max="1" width="35.109375" bestFit="1" customWidth="1"/>
    <col min="2" max="2" width="10.109375" style="1" bestFit="1" customWidth="1"/>
    <col min="3" max="3" width="1" style="1" customWidth="1"/>
    <col min="4" max="4" width="29" bestFit="1" customWidth="1"/>
    <col min="5" max="5" width="9.5546875" bestFit="1" customWidth="1"/>
    <col min="6" max="6" width="14.33203125" customWidth="1"/>
    <col min="7" max="7" width="9.109375" customWidth="1"/>
    <col min="10" max="10" width="12.6640625" bestFit="1" customWidth="1"/>
    <col min="12" max="12" width="8.44140625" bestFit="1" customWidth="1"/>
  </cols>
  <sheetData>
    <row r="1" spans="1:11" ht="36" customHeight="1" thickBot="1" x14ac:dyDescent="0.35">
      <c r="A1" s="25"/>
      <c r="B1" s="26"/>
      <c r="C1" s="26"/>
      <c r="D1" s="27"/>
      <c r="E1" s="27"/>
      <c r="F1" s="27"/>
      <c r="G1" s="27"/>
      <c r="H1" s="27"/>
      <c r="I1" s="27"/>
      <c r="J1" s="27"/>
      <c r="K1" s="28"/>
    </row>
    <row r="2" spans="1:11" ht="27.75" customHeight="1" thickBot="1" x14ac:dyDescent="0.35">
      <c r="A2" s="40" t="s">
        <v>0</v>
      </c>
      <c r="B2" s="41"/>
      <c r="C2" s="41"/>
      <c r="D2" s="41"/>
      <c r="E2" s="42"/>
      <c r="F2" s="29"/>
      <c r="G2" s="29"/>
      <c r="H2" s="29"/>
      <c r="I2" s="29"/>
      <c r="J2" s="29"/>
      <c r="K2" s="30"/>
    </row>
    <row r="3" spans="1:11" ht="17.25" customHeight="1" thickBot="1" x14ac:dyDescent="0.35">
      <c r="A3" s="43" t="s">
        <v>221</v>
      </c>
      <c r="B3" s="44"/>
      <c r="C3" s="12"/>
      <c r="D3" s="45" t="s">
        <v>190</v>
      </c>
      <c r="E3" s="46"/>
      <c r="F3" s="29"/>
      <c r="G3" s="29"/>
      <c r="H3" s="29"/>
      <c r="I3" s="29"/>
      <c r="J3" s="29"/>
      <c r="K3" s="30"/>
    </row>
    <row r="4" spans="1:11" ht="25.5" customHeight="1" x14ac:dyDescent="0.3">
      <c r="A4" s="38" t="s">
        <v>1</v>
      </c>
      <c r="B4" s="39">
        <v>30</v>
      </c>
      <c r="C4" s="31"/>
      <c r="D4" s="21" t="s">
        <v>2</v>
      </c>
      <c r="E4" s="22">
        <f>values!F26*B4^6+values!F27*B4^5+values!F28*B4^4+values!F29*B4^3+values!F30*B4^2+values!F31*B4+values!F32</f>
        <v>995.70757752336192</v>
      </c>
      <c r="F4" s="29"/>
      <c r="G4" s="29"/>
      <c r="H4" s="29"/>
      <c r="I4" s="29"/>
      <c r="J4" s="29"/>
      <c r="K4" s="30"/>
    </row>
    <row r="5" spans="1:11" ht="24" customHeight="1" x14ac:dyDescent="0.3">
      <c r="A5" s="15" t="s">
        <v>209</v>
      </c>
      <c r="B5" s="13">
        <v>500</v>
      </c>
      <c r="C5" s="31"/>
      <c r="D5" s="7" t="s">
        <v>218</v>
      </c>
      <c r="E5" s="23">
        <f>values!C26*B4^6+values!C27*B4^5+values!C28*B4^4+values!C29*B4^3+values!C30*B4^2+values!C31*B4+values!C32</f>
        <v>4.238265297333256E-2</v>
      </c>
      <c r="F5" s="29"/>
      <c r="G5" s="29"/>
      <c r="H5" s="29"/>
      <c r="I5" s="29"/>
      <c r="J5" s="29"/>
      <c r="K5" s="30"/>
    </row>
    <row r="6" spans="1:11" ht="24" customHeight="1" x14ac:dyDescent="0.3">
      <c r="A6" s="15" t="s">
        <v>213</v>
      </c>
      <c r="B6" s="13">
        <v>5</v>
      </c>
      <c r="C6" s="31"/>
      <c r="D6" s="7" t="s">
        <v>216</v>
      </c>
      <c r="E6" s="24">
        <f>values!I26*B5^6+values!I27*B5^5+values!I28*B5^4+values!I29*B5^3+values!I30*B5^2+values!I31*B5+values!I32</f>
        <v>95.442114913837258</v>
      </c>
      <c r="F6" s="29"/>
      <c r="G6" s="29"/>
      <c r="H6" s="29"/>
      <c r="I6" s="29"/>
      <c r="J6" s="29"/>
      <c r="K6" s="30"/>
    </row>
    <row r="7" spans="1:11" ht="21" customHeight="1" x14ac:dyDescent="0.3">
      <c r="A7" s="15" t="s">
        <v>193</v>
      </c>
      <c r="B7" s="13">
        <v>10</v>
      </c>
      <c r="C7" s="31"/>
      <c r="D7" s="7" t="s">
        <v>212</v>
      </c>
      <c r="E7" s="5">
        <f>B7-B6</f>
        <v>5</v>
      </c>
      <c r="F7" s="29"/>
      <c r="G7" s="29"/>
      <c r="H7" s="29"/>
      <c r="I7" s="29"/>
      <c r="J7" s="29"/>
      <c r="K7" s="30"/>
    </row>
    <row r="8" spans="1:11" ht="21" customHeight="1" x14ac:dyDescent="0.3">
      <c r="A8" s="15" t="s">
        <v>220</v>
      </c>
      <c r="B8" s="13">
        <v>0.64</v>
      </c>
      <c r="C8" s="31"/>
      <c r="D8" s="7" t="s">
        <v>217</v>
      </c>
      <c r="E8" s="5">
        <f>E6*1000/(E4*9.81)</f>
        <v>9.7710049831252448</v>
      </c>
      <c r="F8" s="29"/>
      <c r="G8" s="29"/>
      <c r="H8" s="29"/>
      <c r="I8" s="29"/>
      <c r="J8" s="29"/>
      <c r="K8" s="30"/>
    </row>
    <row r="9" spans="1:11" ht="22.5" customHeight="1" x14ac:dyDescent="0.3">
      <c r="A9" s="15" t="s">
        <v>192</v>
      </c>
      <c r="B9" s="13">
        <v>9</v>
      </c>
      <c r="C9" s="31"/>
      <c r="D9" s="7" t="s">
        <v>191</v>
      </c>
      <c r="E9" s="5">
        <f>B8</f>
        <v>0.64</v>
      </c>
      <c r="F9" s="29"/>
      <c r="G9" s="29"/>
      <c r="H9" s="29"/>
      <c r="I9" s="29"/>
      <c r="J9" s="29"/>
      <c r="K9" s="30"/>
    </row>
    <row r="10" spans="1:11" ht="21.75" customHeight="1" thickBot="1" x14ac:dyDescent="0.35">
      <c r="A10" s="16" t="s">
        <v>222</v>
      </c>
      <c r="B10" s="14">
        <v>5</v>
      </c>
      <c r="C10" s="31"/>
      <c r="D10" s="18" t="s">
        <v>219</v>
      </c>
      <c r="E10" s="6">
        <f>E5*100000/(E4*9.81)</f>
        <v>0.43389767061884432</v>
      </c>
      <c r="F10" s="29"/>
      <c r="G10" s="29"/>
      <c r="H10" s="29"/>
      <c r="I10" s="29"/>
      <c r="J10" s="29"/>
      <c r="K10" s="30"/>
    </row>
    <row r="11" spans="1:11" ht="24.75" customHeight="1" x14ac:dyDescent="0.3">
      <c r="A11" s="32"/>
      <c r="B11" s="33"/>
      <c r="C11" s="31"/>
      <c r="D11" s="19" t="s">
        <v>210</v>
      </c>
      <c r="E11" s="34">
        <f>E7+E8-E9-E10</f>
        <v>13.6971073125064</v>
      </c>
      <c r="F11" s="36" t="str">
        <f xml:space="preserve"> IF(E11&gt;B9,"NPSHa&gt;NPSHr","NPSHa&lt;NPSHr")</f>
        <v>NPSHa&gt;NPSHr</v>
      </c>
      <c r="G11" s="29"/>
      <c r="H11" s="29"/>
      <c r="I11" s="29"/>
      <c r="J11" s="29"/>
      <c r="K11" s="30"/>
    </row>
    <row r="12" spans="1:11" ht="22.5" customHeight="1" thickBot="1" x14ac:dyDescent="0.35">
      <c r="A12" s="32"/>
      <c r="B12" s="33"/>
      <c r="C12" s="31"/>
      <c r="D12" s="17" t="s">
        <v>3</v>
      </c>
      <c r="E12" s="35">
        <f>E11-B9</f>
        <v>4.6971073125064002</v>
      </c>
      <c r="F12" s="37" t="str">
        <f xml:space="preserve"> IF(E12&gt;B10,"OK","Not OK")</f>
        <v>Not OK</v>
      </c>
      <c r="G12" s="29"/>
      <c r="H12" s="29"/>
      <c r="I12" s="29"/>
      <c r="J12" s="29"/>
      <c r="K12" s="30"/>
    </row>
    <row r="13" spans="1:11" ht="22.5" customHeight="1" x14ac:dyDescent="0.3">
      <c r="A13" s="32"/>
      <c r="B13" s="33"/>
      <c r="C13" s="33"/>
      <c r="D13" s="29"/>
      <c r="E13" s="29"/>
      <c r="F13" s="29"/>
      <c r="G13" s="29"/>
      <c r="H13" s="29"/>
      <c r="I13" s="29"/>
      <c r="J13" s="29"/>
      <c r="K13" s="30"/>
    </row>
    <row r="14" spans="1:11" ht="19.5" customHeight="1" x14ac:dyDescent="0.3">
      <c r="A14" s="32"/>
      <c r="B14" s="33"/>
      <c r="C14" s="33"/>
      <c r="D14" s="29"/>
      <c r="E14" s="29"/>
      <c r="F14" s="29"/>
      <c r="G14" s="29"/>
      <c r="H14" s="29"/>
      <c r="I14" s="29"/>
      <c r="J14" s="29"/>
      <c r="K14" s="30"/>
    </row>
    <row r="15" spans="1:11" x14ac:dyDescent="0.3">
      <c r="A15" s="32"/>
      <c r="B15" s="33"/>
      <c r="C15" s="33"/>
      <c r="D15" s="29"/>
      <c r="E15" s="29"/>
      <c r="F15" s="29"/>
      <c r="G15" s="29"/>
      <c r="H15" s="29"/>
      <c r="I15" s="29"/>
      <c r="J15" s="29"/>
      <c r="K15" s="30"/>
    </row>
    <row r="16" spans="1:11" x14ac:dyDescent="0.3">
      <c r="A16" s="32"/>
      <c r="B16" s="33"/>
      <c r="C16" s="33"/>
      <c r="D16" s="29"/>
      <c r="E16" s="29"/>
      <c r="F16" s="29"/>
      <c r="G16" s="29"/>
      <c r="H16" s="29"/>
      <c r="I16" s="29"/>
      <c r="J16" s="29"/>
      <c r="K16" s="30"/>
    </row>
    <row r="17" spans="1:11" x14ac:dyDescent="0.3">
      <c r="A17" s="32"/>
      <c r="B17" s="33"/>
      <c r="C17" s="33"/>
      <c r="D17" s="29"/>
      <c r="E17" s="29"/>
      <c r="F17" s="29"/>
      <c r="G17" s="29"/>
      <c r="H17" s="29"/>
      <c r="I17" s="29"/>
      <c r="J17" s="29"/>
      <c r="K17" s="30"/>
    </row>
    <row r="18" spans="1:11" x14ac:dyDescent="0.3">
      <c r="A18" s="32"/>
      <c r="B18" s="33"/>
      <c r="C18" s="33"/>
      <c r="D18" s="29"/>
      <c r="E18" s="29"/>
      <c r="F18" s="29"/>
      <c r="G18" s="29"/>
      <c r="H18" s="29"/>
      <c r="I18" s="29"/>
      <c r="J18" s="29"/>
      <c r="K18" s="30"/>
    </row>
    <row r="19" spans="1:11" x14ac:dyDescent="0.3">
      <c r="A19" s="32"/>
      <c r="B19" s="33"/>
      <c r="C19" s="33"/>
      <c r="D19" s="29"/>
      <c r="E19" s="29"/>
      <c r="F19" s="29"/>
      <c r="G19" s="29"/>
      <c r="H19" s="29"/>
      <c r="I19" s="29"/>
      <c r="J19" s="29"/>
      <c r="K19" s="30"/>
    </row>
    <row r="20" spans="1:11" x14ac:dyDescent="0.3">
      <c r="A20" s="32"/>
      <c r="B20" s="33"/>
      <c r="C20" s="33"/>
      <c r="D20" s="29"/>
      <c r="E20" s="29"/>
      <c r="F20" s="29"/>
      <c r="G20" s="29"/>
      <c r="H20" s="29"/>
      <c r="I20" s="29"/>
      <c r="J20" s="29"/>
      <c r="K20" s="30"/>
    </row>
    <row r="21" spans="1:11" x14ac:dyDescent="0.3">
      <c r="A21" s="32"/>
      <c r="B21" s="33"/>
      <c r="C21" s="33"/>
      <c r="D21" s="29"/>
      <c r="E21" s="29"/>
      <c r="F21" s="29"/>
      <c r="G21" s="29"/>
      <c r="H21" s="29"/>
      <c r="I21" s="29"/>
      <c r="J21" s="29"/>
      <c r="K21" s="30"/>
    </row>
    <row r="22" spans="1:11" x14ac:dyDescent="0.3">
      <c r="A22" s="32"/>
      <c r="B22" s="33"/>
      <c r="C22" s="33"/>
      <c r="D22" s="29"/>
      <c r="E22" s="29"/>
      <c r="F22" s="29"/>
      <c r="G22" s="29"/>
      <c r="H22" s="29"/>
      <c r="I22" s="29"/>
      <c r="J22" s="29"/>
      <c r="K22" s="30"/>
    </row>
    <row r="23" spans="1:11" x14ac:dyDescent="0.3">
      <c r="A23" s="32"/>
      <c r="B23" s="33"/>
      <c r="C23" s="33"/>
      <c r="D23" s="29"/>
      <c r="E23" s="29"/>
      <c r="F23" s="29"/>
      <c r="G23" s="29"/>
      <c r="H23" s="29"/>
      <c r="I23" s="29"/>
      <c r="J23" s="29"/>
      <c r="K23" s="30"/>
    </row>
    <row r="24" spans="1:11" x14ac:dyDescent="0.3">
      <c r="A24" s="32"/>
      <c r="B24" s="33"/>
      <c r="C24" s="33"/>
      <c r="D24" s="29"/>
      <c r="E24" s="29"/>
      <c r="F24" s="29"/>
      <c r="G24" s="29"/>
      <c r="H24" s="29"/>
      <c r="I24" s="29"/>
      <c r="J24" s="29"/>
      <c r="K24" s="30"/>
    </row>
    <row r="25" spans="1:11" x14ac:dyDescent="0.3">
      <c r="A25" s="32"/>
      <c r="B25" s="33"/>
      <c r="C25" s="33"/>
      <c r="D25" s="29"/>
      <c r="E25" s="29"/>
      <c r="F25" s="29"/>
      <c r="G25" s="29"/>
      <c r="H25" s="29"/>
      <c r="I25" s="29"/>
      <c r="J25" s="29"/>
      <c r="K25" s="30"/>
    </row>
    <row r="26" spans="1:11" ht="31.5" customHeight="1" thickBot="1" x14ac:dyDescent="0.35">
      <c r="A26" s="32"/>
      <c r="B26" s="33"/>
      <c r="C26" s="33"/>
      <c r="D26" s="29"/>
      <c r="E26" s="29"/>
      <c r="F26" s="29"/>
      <c r="G26" s="29"/>
      <c r="H26" s="29"/>
      <c r="I26" s="29"/>
      <c r="J26" s="29"/>
      <c r="K26" s="30"/>
    </row>
    <row r="27" spans="1:11" ht="80.25" customHeight="1" thickBot="1" x14ac:dyDescent="0.35">
      <c r="A27" s="47" t="s">
        <v>223</v>
      </c>
      <c r="B27" s="48"/>
      <c r="C27" s="48"/>
      <c r="D27" s="48"/>
      <c r="E27" s="48"/>
      <c r="F27" s="48"/>
      <c r="G27" s="48"/>
      <c r="H27" s="48"/>
      <c r="I27" s="48"/>
      <c r="J27" s="48"/>
      <c r="K27" s="49"/>
    </row>
  </sheetData>
  <sheetProtection password="D1C7" sheet="1" objects="1" scenarios="1"/>
  <mergeCells count="4">
    <mergeCell ref="A2:E2"/>
    <mergeCell ref="A3:B3"/>
    <mergeCell ref="D3:E3"/>
    <mergeCell ref="A27:K27"/>
  </mergeCells>
  <conditionalFormatting sqref="F11">
    <cfRule type="containsText" dxfId="9" priority="9" operator="containsText" text="Not OK">
      <formula>NOT(ISERROR(SEARCH("Not OK",F11)))</formula>
    </cfRule>
    <cfRule type="containsText" dxfId="8" priority="10" operator="containsText" text="OK">
      <formula>NOT(ISERROR(SEARCH("OK",F11)))</formula>
    </cfRule>
    <cfRule type="cellIs" dxfId="7" priority="2" operator="equal">
      <formula>"NPSHa&gt;NPSHr"</formula>
    </cfRule>
    <cfRule type="cellIs" dxfId="6" priority="1" operator="equal">
      <formula>"NPSHa&lt;NPSHr"</formula>
    </cfRule>
  </conditionalFormatting>
  <conditionalFormatting sqref="E12">
    <cfRule type="cellIs" dxfId="5" priority="11" operator="lessThan">
      <formula>$B$10</formula>
    </cfRule>
    <cfRule type="cellIs" dxfId="4" priority="12" operator="greaterThan">
      <formula>$B$10</formula>
    </cfRule>
  </conditionalFormatting>
  <conditionalFormatting sqref="E11">
    <cfRule type="cellIs" dxfId="3" priority="7" operator="lessThan">
      <formula>$B$9</formula>
    </cfRule>
    <cfRule type="cellIs" dxfId="2" priority="8" operator="greaterThan">
      <formula>$B$9</formula>
    </cfRule>
  </conditionalFormatting>
  <conditionalFormatting sqref="F12">
    <cfRule type="containsText" dxfId="1" priority="3" operator="containsText" text="Not OK">
      <formula>NOT(ISERROR(SEARCH("Not OK",F12)))</formula>
    </cfRule>
    <cfRule type="containsText" dxfId="0" priority="4" operator="containsText" text="OK">
      <formula>NOT(ISERROR(SEARCH("OK",F12)))</formula>
    </cfRule>
  </conditionalFormatting>
  <pageMargins left="0.70866141732283472" right="0.70866141732283472" top="0.74803149606299213" bottom="0.74803149606299213" header="0.31496062992125984" footer="0.31496062992125984"/>
  <pageSetup paperSize="9" scale="83" orientation="landscape" r:id="rId1"/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A45"/>
  <sheetViews>
    <sheetView topLeftCell="B1" zoomScaleNormal="100" workbookViewId="0">
      <selection activeCell="G2" sqref="G2"/>
    </sheetView>
  </sheetViews>
  <sheetFormatPr defaultRowHeight="14.4" x14ac:dyDescent="0.3"/>
  <cols>
    <col min="4" max="4" width="14.5546875" bestFit="1" customWidth="1"/>
    <col min="6" max="6" width="12.6640625" bestFit="1" customWidth="1"/>
    <col min="7" max="7" width="14.5546875" bestFit="1" customWidth="1"/>
    <col min="9" max="9" width="12" bestFit="1" customWidth="1"/>
  </cols>
  <sheetData>
    <row r="1" spans="3:27" x14ac:dyDescent="0.3">
      <c r="C1" t="s">
        <v>204</v>
      </c>
      <c r="D1" t="s">
        <v>205</v>
      </c>
      <c r="E1" t="s">
        <v>206</v>
      </c>
      <c r="G1" t="s">
        <v>205</v>
      </c>
      <c r="H1" t="s">
        <v>206</v>
      </c>
    </row>
    <row r="2" spans="3:27" ht="15" thickBot="1" x14ac:dyDescent="0.35">
      <c r="C2">
        <v>0</v>
      </c>
      <c r="D2">
        <v>6.11E-3</v>
      </c>
      <c r="E2">
        <v>1000</v>
      </c>
      <c r="G2">
        <f t="shared" ref="G2:G20" si="0">$C$26*C2^6+$C$27*C2^5+$C$28*C2^4+$C$29*C2^3+$C$30*C2^2+$C$31*C2+$C$32</f>
        <v>6.0692295190322709E-3</v>
      </c>
      <c r="H2">
        <f>$F$26*C2^6+$F$27*C2^5+$F$28*C2^4+$F$29*C2^3+$F$30*C2^2+$F$31*C2+$F$32</f>
        <v>999.99259111466074</v>
      </c>
    </row>
    <row r="3" spans="3:27" ht="14.25" customHeight="1" thickBot="1" x14ac:dyDescent="0.35">
      <c r="C3">
        <v>4</v>
      </c>
      <c r="D3">
        <v>8.1300000000000001E-3</v>
      </c>
      <c r="E3">
        <v>1000</v>
      </c>
      <c r="G3">
        <f t="shared" si="0"/>
        <v>8.164702460161443E-3</v>
      </c>
      <c r="H3">
        <f t="shared" ref="H3:H20" si="1">$F$26*C3^6+$F$27*C3^5+$F$28*C3^4+$F$29*C3^3+$F$30*C3^2+$F$31*C3+$F$32</f>
        <v>1000.0187394214578</v>
      </c>
      <c r="S3" s="50" t="s">
        <v>194</v>
      </c>
      <c r="T3" s="51"/>
      <c r="U3" s="51"/>
      <c r="V3" s="51"/>
      <c r="W3" s="51"/>
      <c r="X3" s="52"/>
      <c r="Y3" s="52"/>
      <c r="Z3" s="53"/>
    </row>
    <row r="4" spans="3:27" ht="28.2" thickBot="1" x14ac:dyDescent="0.35">
      <c r="C4">
        <v>10</v>
      </c>
      <c r="D4">
        <v>1.227E-2</v>
      </c>
      <c r="E4">
        <v>999.7</v>
      </c>
      <c r="G4">
        <f t="shared" si="0"/>
        <v>1.2317226703122904E-2</v>
      </c>
      <c r="H4">
        <f t="shared" si="1"/>
        <v>999.68534009657083</v>
      </c>
      <c r="S4" s="54" t="s">
        <v>195</v>
      </c>
      <c r="T4" s="55"/>
      <c r="U4" s="4" t="s">
        <v>4</v>
      </c>
      <c r="V4" s="56" t="s">
        <v>5</v>
      </c>
      <c r="W4" s="57"/>
      <c r="X4" s="58" t="s">
        <v>6</v>
      </c>
      <c r="Y4" s="59"/>
      <c r="Z4" s="60"/>
    </row>
    <row r="5" spans="3:27" ht="28.2" thickBot="1" x14ac:dyDescent="0.35">
      <c r="C5">
        <v>20</v>
      </c>
      <c r="D5">
        <v>2.3369999999999998E-2</v>
      </c>
      <c r="E5">
        <v>998.2</v>
      </c>
      <c r="G5">
        <f t="shared" si="0"/>
        <v>2.3356386590417735E-2</v>
      </c>
      <c r="H5">
        <f t="shared" si="1"/>
        <v>998.21133223395827</v>
      </c>
      <c r="S5" s="8" t="s">
        <v>7</v>
      </c>
      <c r="T5" s="8" t="s">
        <v>8</v>
      </c>
      <c r="U5" s="2" t="s">
        <v>9</v>
      </c>
      <c r="V5" s="2" t="s">
        <v>10</v>
      </c>
      <c r="W5" s="2" t="s">
        <v>11</v>
      </c>
      <c r="X5" s="8" t="s">
        <v>12</v>
      </c>
      <c r="Y5" s="8" t="s">
        <v>196</v>
      </c>
      <c r="Z5" s="8" t="s">
        <v>13</v>
      </c>
    </row>
    <row r="6" spans="3:27" ht="15" thickBot="1" x14ac:dyDescent="0.35">
      <c r="C6">
        <v>25</v>
      </c>
      <c r="D6">
        <v>3.1660000000000001E-2</v>
      </c>
      <c r="E6">
        <v>997.1</v>
      </c>
      <c r="G6">
        <f t="shared" si="0"/>
        <v>3.1631988852000095E-2</v>
      </c>
      <c r="H6">
        <f t="shared" si="1"/>
        <v>997.07993402952275</v>
      </c>
      <c r="S6" s="2">
        <v>-5000</v>
      </c>
      <c r="T6" s="2">
        <v>-1526</v>
      </c>
      <c r="U6" s="2">
        <v>25</v>
      </c>
      <c r="V6" s="2" t="s">
        <v>14</v>
      </c>
      <c r="W6" s="2" t="s">
        <v>15</v>
      </c>
      <c r="X6" s="2" t="s">
        <v>16</v>
      </c>
      <c r="Y6" s="3">
        <v>1229</v>
      </c>
      <c r="Z6" s="10">
        <v>120.5</v>
      </c>
      <c r="AA6">
        <f>$I$26*T6^6+$I$27*T6^5+$I$28*T6^4+$I$29*T6^3+$I$30*T6^2+$I$31*T6+$I$32</f>
        <v>120.66730623160275</v>
      </c>
    </row>
    <row r="7" spans="3:27" ht="15" thickBot="1" x14ac:dyDescent="0.35">
      <c r="C7">
        <v>30</v>
      </c>
      <c r="D7">
        <v>4.2410000000000003E-2</v>
      </c>
      <c r="E7">
        <v>995.7</v>
      </c>
      <c r="G7">
        <f t="shared" si="0"/>
        <v>4.238265297333256E-2</v>
      </c>
      <c r="H7">
        <f t="shared" si="1"/>
        <v>995.70757752336192</v>
      </c>
      <c r="S7" s="2">
        <v>-4500</v>
      </c>
      <c r="T7" s="2">
        <v>-1373</v>
      </c>
      <c r="U7" s="2">
        <v>24</v>
      </c>
      <c r="V7" s="2" t="s">
        <v>18</v>
      </c>
      <c r="W7" s="2" t="s">
        <v>19</v>
      </c>
      <c r="X7" s="2" t="s">
        <v>20</v>
      </c>
      <c r="Y7" s="3">
        <v>1209</v>
      </c>
      <c r="Z7" s="10">
        <v>118.5</v>
      </c>
      <c r="AA7">
        <f t="shared" ref="AA7:AA45" si="2">$I$26*T7^6+$I$27*T7^5+$I$28*T7^4+$I$29*T7^3+$I$30*T7^2+$I$31*T7+$I$32</f>
        <v>118.60200679959146</v>
      </c>
    </row>
    <row r="8" spans="3:27" ht="15" thickBot="1" x14ac:dyDescent="0.35">
      <c r="C8">
        <v>40</v>
      </c>
      <c r="D8">
        <v>7.3749999999999996E-2</v>
      </c>
      <c r="E8">
        <v>992.3</v>
      </c>
      <c r="G8">
        <f t="shared" si="0"/>
        <v>7.3740882900799401E-2</v>
      </c>
      <c r="H8">
        <f t="shared" si="1"/>
        <v>992.30166262092155</v>
      </c>
      <c r="S8" s="2">
        <v>-4000</v>
      </c>
      <c r="T8" s="2">
        <v>-1220</v>
      </c>
      <c r="U8" s="2">
        <v>23</v>
      </c>
      <c r="V8" s="2" t="s">
        <v>22</v>
      </c>
      <c r="W8" s="2" t="s">
        <v>23</v>
      </c>
      <c r="X8" s="2" t="s">
        <v>24</v>
      </c>
      <c r="Y8" s="3">
        <v>1188</v>
      </c>
      <c r="Z8" s="10">
        <v>116.5</v>
      </c>
      <c r="AA8">
        <f t="shared" si="2"/>
        <v>116.56368529098364</v>
      </c>
    </row>
    <row r="9" spans="3:27" ht="15" thickBot="1" x14ac:dyDescent="0.35">
      <c r="C9">
        <v>50</v>
      </c>
      <c r="D9">
        <v>0.12335</v>
      </c>
      <c r="E9">
        <v>988.1</v>
      </c>
      <c r="G9">
        <f t="shared" si="0"/>
        <v>0.12337474103237366</v>
      </c>
      <c r="H9">
        <f t="shared" si="1"/>
        <v>988.10837192389965</v>
      </c>
      <c r="S9" s="2">
        <v>-3500</v>
      </c>
      <c r="T9" s="2">
        <v>-1068</v>
      </c>
      <c r="U9" s="2">
        <v>22</v>
      </c>
      <c r="V9" s="2" t="s">
        <v>26</v>
      </c>
      <c r="W9" s="2" t="s">
        <v>27</v>
      </c>
      <c r="X9" s="2" t="s">
        <v>28</v>
      </c>
      <c r="Y9" s="3">
        <v>1169</v>
      </c>
      <c r="Z9" s="10">
        <v>114.6</v>
      </c>
      <c r="AA9">
        <f t="shared" si="2"/>
        <v>114.56519376576594</v>
      </c>
    </row>
    <row r="10" spans="3:27" ht="15" thickBot="1" x14ac:dyDescent="0.35">
      <c r="C10">
        <v>60</v>
      </c>
      <c r="D10">
        <v>0.19919999999999999</v>
      </c>
      <c r="E10">
        <v>983.2</v>
      </c>
      <c r="G10">
        <f t="shared" si="0"/>
        <v>0.19923336199768618</v>
      </c>
      <c r="H10">
        <f t="shared" si="1"/>
        <v>983.22724722707062</v>
      </c>
      <c r="S10" s="2">
        <v>-3000</v>
      </c>
      <c r="T10" s="2">
        <v>-915</v>
      </c>
      <c r="U10" s="2">
        <v>21</v>
      </c>
      <c r="V10" s="2" t="s">
        <v>30</v>
      </c>
      <c r="W10" s="2" t="s">
        <v>31</v>
      </c>
      <c r="X10" s="2" t="s">
        <v>32</v>
      </c>
      <c r="Y10" s="3">
        <v>1149</v>
      </c>
      <c r="Z10" s="10">
        <v>112.7</v>
      </c>
      <c r="AA10">
        <f t="shared" si="2"/>
        <v>112.58002847944368</v>
      </c>
    </row>
    <row r="11" spans="3:27" ht="15" thickBot="1" x14ac:dyDescent="0.35">
      <c r="C11">
        <v>70</v>
      </c>
      <c r="D11">
        <v>0.31162000000000001</v>
      </c>
      <c r="E11">
        <v>977.8</v>
      </c>
      <c r="G11">
        <f t="shared" si="0"/>
        <v>0.31163478076124029</v>
      </c>
      <c r="H11">
        <f t="shared" si="1"/>
        <v>977.74108595398104</v>
      </c>
      <c r="S11" s="2">
        <v>-2500</v>
      </c>
      <c r="T11" s="2">
        <v>-763</v>
      </c>
      <c r="U11" s="2">
        <v>20</v>
      </c>
      <c r="V11" s="2" t="s">
        <v>34</v>
      </c>
      <c r="W11" s="2" t="s">
        <v>35</v>
      </c>
      <c r="X11" s="2" t="s">
        <v>36</v>
      </c>
      <c r="Y11" s="3">
        <v>1129</v>
      </c>
      <c r="Z11" s="10">
        <v>110.7</v>
      </c>
      <c r="AA11">
        <f t="shared" si="2"/>
        <v>110.63393327026873</v>
      </c>
    </row>
    <row r="12" spans="3:27" ht="15" thickBot="1" x14ac:dyDescent="0.35">
      <c r="C12">
        <v>80</v>
      </c>
      <c r="D12">
        <v>0.47360000000000002</v>
      </c>
      <c r="E12">
        <v>971.7</v>
      </c>
      <c r="G12">
        <f t="shared" si="0"/>
        <v>0.47358613099255314</v>
      </c>
      <c r="H12">
        <f t="shared" si="1"/>
        <v>971.71537796307757</v>
      </c>
      <c r="S12" s="2">
        <v>-2000</v>
      </c>
      <c r="T12" s="2">
        <v>-610</v>
      </c>
      <c r="U12" s="2">
        <v>19</v>
      </c>
      <c r="V12" s="2" t="s">
        <v>38</v>
      </c>
      <c r="W12" s="2" t="s">
        <v>39</v>
      </c>
      <c r="X12" s="2" t="s">
        <v>40</v>
      </c>
      <c r="Y12" s="3">
        <v>1109</v>
      </c>
      <c r="Z12" s="10">
        <v>108.8</v>
      </c>
      <c r="AA12">
        <f t="shared" si="2"/>
        <v>108.70109375267056</v>
      </c>
    </row>
    <row r="13" spans="3:27" ht="15" thickBot="1" x14ac:dyDescent="0.35">
      <c r="C13">
        <v>90</v>
      </c>
      <c r="D13">
        <v>0.70108999999999999</v>
      </c>
      <c r="E13">
        <v>965.2</v>
      </c>
      <c r="G13">
        <f t="shared" si="0"/>
        <v>0.70106061144164245</v>
      </c>
      <c r="H13">
        <f t="shared" si="1"/>
        <v>965.19868092870593</v>
      </c>
      <c r="S13" s="2">
        <v>-1500</v>
      </c>
      <c r="T13" s="2">
        <v>-458</v>
      </c>
      <c r="U13" s="2">
        <v>18</v>
      </c>
      <c r="V13" s="2" t="s">
        <v>42</v>
      </c>
      <c r="W13" s="2" t="s">
        <v>43</v>
      </c>
      <c r="X13" s="2" t="s">
        <v>44</v>
      </c>
      <c r="Y13" s="3">
        <v>1091</v>
      </c>
      <c r="Z13" s="10">
        <v>106.9</v>
      </c>
      <c r="AA13">
        <f t="shared" si="2"/>
        <v>106.80656973210451</v>
      </c>
    </row>
    <row r="14" spans="3:27" ht="15" thickBot="1" x14ac:dyDescent="0.35">
      <c r="C14">
        <v>100</v>
      </c>
      <c r="D14">
        <v>1.01325</v>
      </c>
      <c r="E14">
        <v>958.2</v>
      </c>
      <c r="G14">
        <f t="shared" si="0"/>
        <v>1.0132312203198588</v>
      </c>
      <c r="H14">
        <f t="shared" si="1"/>
        <v>958.22393429697752</v>
      </c>
      <c r="S14" s="2">
        <v>-1000</v>
      </c>
      <c r="T14" s="2">
        <v>-305</v>
      </c>
      <c r="U14" s="2">
        <v>17</v>
      </c>
      <c r="V14" s="2" t="s">
        <v>46</v>
      </c>
      <c r="W14" s="2" t="s">
        <v>47</v>
      </c>
      <c r="X14" s="2" t="s">
        <v>48</v>
      </c>
      <c r="Y14" s="3">
        <v>1071</v>
      </c>
      <c r="Z14" s="10">
        <v>105</v>
      </c>
      <c r="AA14">
        <f t="shared" si="2"/>
        <v>104.92522538519425</v>
      </c>
    </row>
    <row r="15" spans="3:27" ht="15" thickBot="1" x14ac:dyDescent="0.35">
      <c r="C15">
        <v>110</v>
      </c>
      <c r="D15">
        <v>1.43266</v>
      </c>
      <c r="E15">
        <v>950.8</v>
      </c>
      <c r="G15">
        <f t="shared" si="0"/>
        <v>1.4326612576860596</v>
      </c>
      <c r="H15">
        <f t="shared" si="1"/>
        <v>950.81071181650634</v>
      </c>
      <c r="S15" s="2">
        <v>-500</v>
      </c>
      <c r="T15" s="2">
        <v>-153</v>
      </c>
      <c r="U15" s="2">
        <v>16</v>
      </c>
      <c r="V15" s="2" t="s">
        <v>50</v>
      </c>
      <c r="W15" s="2" t="s">
        <v>51</v>
      </c>
      <c r="X15" s="2" t="s">
        <v>52</v>
      </c>
      <c r="Y15" s="3">
        <v>1052</v>
      </c>
      <c r="Z15" s="10">
        <v>103.1</v>
      </c>
      <c r="AA15">
        <f t="shared" si="2"/>
        <v>103.08144740158637</v>
      </c>
    </row>
    <row r="16" spans="3:27" ht="15" thickBot="1" x14ac:dyDescent="0.35">
      <c r="C16">
        <v>120</v>
      </c>
      <c r="D16">
        <v>1.98543</v>
      </c>
      <c r="E16">
        <v>943</v>
      </c>
      <c r="G16">
        <f t="shared" si="0"/>
        <v>1.9854515958381331</v>
      </c>
      <c r="H16">
        <f t="shared" si="1"/>
        <v>942.96841264401485</v>
      </c>
      <c r="S16" s="2">
        <v>0</v>
      </c>
      <c r="T16" s="2">
        <v>0</v>
      </c>
      <c r="U16" s="2">
        <v>15</v>
      </c>
      <c r="V16" s="2" t="s">
        <v>54</v>
      </c>
      <c r="W16" s="2" t="s">
        <v>55</v>
      </c>
      <c r="X16" s="3">
        <v>14696</v>
      </c>
      <c r="Y16" s="3">
        <v>10333</v>
      </c>
      <c r="Z16" s="10">
        <v>101.33</v>
      </c>
      <c r="AA16">
        <f t="shared" si="2"/>
        <v>101.25076772266934</v>
      </c>
    </row>
    <row r="17" spans="2:27" ht="15" thickBot="1" x14ac:dyDescent="0.35">
      <c r="C17">
        <v>130</v>
      </c>
      <c r="D17">
        <v>2.7013199999999999</v>
      </c>
      <c r="E17">
        <v>934.7</v>
      </c>
      <c r="G17">
        <f t="shared" si="0"/>
        <v>2.7013447177098624</v>
      </c>
      <c r="H17">
        <f t="shared" si="1"/>
        <v>934.70039102480951</v>
      </c>
      <c r="S17" s="2">
        <v>500</v>
      </c>
      <c r="T17" s="2">
        <v>153</v>
      </c>
      <c r="U17" s="2">
        <v>14</v>
      </c>
      <c r="V17" s="2" t="s">
        <v>57</v>
      </c>
      <c r="W17" s="2" t="s">
        <v>58</v>
      </c>
      <c r="X17" s="2" t="s">
        <v>59</v>
      </c>
      <c r="Y17" s="3">
        <v>1015</v>
      </c>
      <c r="Z17" s="10">
        <v>99.49</v>
      </c>
      <c r="AA17">
        <f t="shared" si="2"/>
        <v>99.445190728978503</v>
      </c>
    </row>
    <row r="18" spans="2:27" ht="15" thickBot="1" x14ac:dyDescent="0.35">
      <c r="C18">
        <v>140</v>
      </c>
      <c r="D18">
        <v>3.6137899999999998</v>
      </c>
      <c r="E18">
        <v>926</v>
      </c>
      <c r="G18">
        <f t="shared" si="0"/>
        <v>3.613785523273136</v>
      </c>
      <c r="H18">
        <f t="shared" si="1"/>
        <v>926.00902454812478</v>
      </c>
      <c r="S18" s="2">
        <v>1000</v>
      </c>
      <c r="T18" s="2">
        <v>305</v>
      </c>
      <c r="U18" s="2">
        <v>13</v>
      </c>
      <c r="V18" s="2" t="s">
        <v>61</v>
      </c>
      <c r="W18" s="2" t="s">
        <v>62</v>
      </c>
      <c r="X18" s="2" t="s">
        <v>63</v>
      </c>
      <c r="Y18" s="2" t="s">
        <v>64</v>
      </c>
      <c r="Z18" s="10">
        <v>97.63</v>
      </c>
      <c r="AA18">
        <f t="shared" si="2"/>
        <v>97.676065657661951</v>
      </c>
    </row>
    <row r="19" spans="2:27" ht="15" thickBot="1" x14ac:dyDescent="0.35">
      <c r="C19">
        <v>150</v>
      </c>
      <c r="D19">
        <v>4.75997</v>
      </c>
      <c r="E19">
        <v>916.9</v>
      </c>
      <c r="G19">
        <f t="shared" si="0"/>
        <v>4.759938903945506</v>
      </c>
      <c r="H19">
        <f t="shared" si="1"/>
        <v>916.9017209773375</v>
      </c>
      <c r="S19" s="2">
        <v>1500</v>
      </c>
      <c r="T19" s="2">
        <v>458</v>
      </c>
      <c r="U19" s="2">
        <v>12</v>
      </c>
      <c r="V19" s="2" t="s">
        <v>66</v>
      </c>
      <c r="W19" s="2" t="s">
        <v>67</v>
      </c>
      <c r="X19" s="2" t="s">
        <v>68</v>
      </c>
      <c r="Y19" s="2" t="s">
        <v>69</v>
      </c>
      <c r="Z19" s="10">
        <v>95.91</v>
      </c>
      <c r="AA19">
        <f t="shared" si="2"/>
        <v>95.919906917527015</v>
      </c>
    </row>
    <row r="20" spans="2:27" ht="15" thickBot="1" x14ac:dyDescent="0.35">
      <c r="C20">
        <v>160</v>
      </c>
      <c r="D20">
        <v>6.18065</v>
      </c>
      <c r="E20">
        <v>907.4</v>
      </c>
      <c r="G20">
        <f t="shared" si="0"/>
        <v>6.1806640850030847</v>
      </c>
      <c r="H20">
        <f t="shared" si="1"/>
        <v>907.39786365504972</v>
      </c>
      <c r="S20" s="2">
        <v>2000</v>
      </c>
      <c r="T20" s="2">
        <v>610</v>
      </c>
      <c r="U20" s="2">
        <v>11</v>
      </c>
      <c r="V20" s="2" t="s">
        <v>71</v>
      </c>
      <c r="W20" s="2" t="s">
        <v>72</v>
      </c>
      <c r="X20" s="2" t="s">
        <v>73</v>
      </c>
      <c r="Y20" s="2" t="s">
        <v>74</v>
      </c>
      <c r="Z20" s="10">
        <v>94.19</v>
      </c>
      <c r="AA20">
        <f t="shared" si="2"/>
        <v>94.199465102402854</v>
      </c>
    </row>
    <row r="21" spans="2:27" ht="15" thickBot="1" x14ac:dyDescent="0.35">
      <c r="S21" s="2">
        <v>2500</v>
      </c>
      <c r="T21" s="2">
        <v>763</v>
      </c>
      <c r="U21" s="2">
        <v>10</v>
      </c>
      <c r="V21" s="2" t="s">
        <v>76</v>
      </c>
      <c r="W21" s="2" t="s">
        <v>77</v>
      </c>
      <c r="X21" s="2" t="s">
        <v>78</v>
      </c>
      <c r="Y21" s="2" t="s">
        <v>79</v>
      </c>
      <c r="Z21" s="10">
        <v>92.46</v>
      </c>
      <c r="AA21">
        <f t="shared" si="2"/>
        <v>92.491895392011969</v>
      </c>
    </row>
    <row r="22" spans="2:27" ht="15" thickBot="1" x14ac:dyDescent="0.35">
      <c r="S22" s="2">
        <v>3000</v>
      </c>
      <c r="T22" s="2">
        <v>915</v>
      </c>
      <c r="U22" s="2">
        <v>9</v>
      </c>
      <c r="V22" s="2" t="s">
        <v>81</v>
      </c>
      <c r="W22" s="2" t="s">
        <v>82</v>
      </c>
      <c r="X22" s="2" t="s">
        <v>83</v>
      </c>
      <c r="Y22" s="2" t="s">
        <v>84</v>
      </c>
      <c r="Z22" s="10">
        <v>90.81</v>
      </c>
      <c r="AA22">
        <f t="shared" si="2"/>
        <v>90.819313458506656</v>
      </c>
    </row>
    <row r="23" spans="2:27" ht="15" thickBot="1" x14ac:dyDescent="0.35">
      <c r="S23" s="2">
        <v>3500</v>
      </c>
      <c r="T23" s="2">
        <v>1068</v>
      </c>
      <c r="U23" s="2">
        <v>8</v>
      </c>
      <c r="V23" s="2" t="s">
        <v>86</v>
      </c>
      <c r="W23" s="2" t="s">
        <v>87</v>
      </c>
      <c r="X23" s="2" t="s">
        <v>88</v>
      </c>
      <c r="Y23" s="2" t="s">
        <v>89</v>
      </c>
      <c r="Z23" s="10">
        <v>89.15</v>
      </c>
      <c r="AA23">
        <f t="shared" si="2"/>
        <v>89.159504477143983</v>
      </c>
    </row>
    <row r="24" spans="2:27" ht="15" thickBot="1" x14ac:dyDescent="0.35">
      <c r="C24" s="9"/>
      <c r="S24" s="2">
        <v>4000</v>
      </c>
      <c r="T24" s="2">
        <v>1220</v>
      </c>
      <c r="U24" s="2">
        <v>7</v>
      </c>
      <c r="V24" s="2" t="s">
        <v>91</v>
      </c>
      <c r="W24" s="2" t="s">
        <v>92</v>
      </c>
      <c r="X24" s="2" t="s">
        <v>93</v>
      </c>
      <c r="Y24" s="2" t="s">
        <v>94</v>
      </c>
      <c r="Z24" s="10">
        <v>87.49</v>
      </c>
      <c r="AA24">
        <f t="shared" si="2"/>
        <v>87.533960083657092</v>
      </c>
    </row>
    <row r="25" spans="2:27" ht="15" thickBot="1" x14ac:dyDescent="0.35">
      <c r="B25" t="s">
        <v>207</v>
      </c>
      <c r="E25" t="s">
        <v>208</v>
      </c>
      <c r="H25" t="s">
        <v>214</v>
      </c>
      <c r="S25" s="2">
        <v>4500</v>
      </c>
      <c r="T25" s="2">
        <v>1373</v>
      </c>
      <c r="U25" s="2">
        <v>6</v>
      </c>
      <c r="V25" s="2" t="s">
        <v>96</v>
      </c>
      <c r="W25" s="2" t="s">
        <v>97</v>
      </c>
      <c r="X25" s="2" t="s">
        <v>98</v>
      </c>
      <c r="Y25" s="2" t="s">
        <v>99</v>
      </c>
      <c r="Z25" s="10">
        <v>85.91</v>
      </c>
      <c r="AA25">
        <f t="shared" si="2"/>
        <v>85.921084686667825</v>
      </c>
    </row>
    <row r="26" spans="2:27" ht="15" thickBot="1" x14ac:dyDescent="0.35">
      <c r="B26" t="s">
        <v>201</v>
      </c>
      <c r="C26">
        <f>INDEX(LINEST(D2:D20,C2:C20^{1,2,3,4,5,6}),1)</f>
        <v>-6.0044437021050941E-14</v>
      </c>
      <c r="E26" t="s">
        <v>201</v>
      </c>
      <c r="F26">
        <f>INDEX(LINEST(E2:E20,C2:C20^{1,2,3,4,5,6}),1)</f>
        <v>1.3035762073588496E-12</v>
      </c>
      <c r="H26" t="s">
        <v>201</v>
      </c>
      <c r="I26">
        <f>INDEX(LINEST(Z6:Z45,T6:T45^{1,2,3,4,5,6}),1)</f>
        <v>-5.2344149151183256E-27</v>
      </c>
      <c r="S26" s="2">
        <v>5000</v>
      </c>
      <c r="T26" s="2">
        <v>1526</v>
      </c>
      <c r="U26" s="2">
        <v>5</v>
      </c>
      <c r="V26" s="2" t="s">
        <v>101</v>
      </c>
      <c r="W26" s="2" t="s">
        <v>102</v>
      </c>
      <c r="X26" s="2" t="s">
        <v>103</v>
      </c>
      <c r="Y26" s="2" t="s">
        <v>104</v>
      </c>
      <c r="Z26" s="10">
        <v>84.33</v>
      </c>
      <c r="AA26">
        <f t="shared" si="2"/>
        <v>84.331441912598592</v>
      </c>
    </row>
    <row r="27" spans="2:27" ht="15" thickBot="1" x14ac:dyDescent="0.35">
      <c r="B27" t="s">
        <v>202</v>
      </c>
      <c r="C27">
        <f>INDEX(LINEST(D2:D20,C2:C20^{1,2,3,4,5,6}),1,2)</f>
        <v>4.6497861728757539E-11</v>
      </c>
      <c r="E27" t="s">
        <v>202</v>
      </c>
      <c r="F27">
        <f>INDEX(LINEST(E2:E20,C2:C20^{1,2,3,4,5,6}),1,2)</f>
        <v>-4.7711297103265777E-10</v>
      </c>
      <c r="H27" t="s">
        <v>202</v>
      </c>
      <c r="I27">
        <f>INDEX(LINEST(Z6:Z45,T6:T45^{1,2,3,4,5,6}),1,2)</f>
        <v>1.4878465453256404E-21</v>
      </c>
      <c r="S27" s="2">
        <v>6000</v>
      </c>
      <c r="T27" s="2">
        <v>1831</v>
      </c>
      <c r="U27" s="2">
        <v>3</v>
      </c>
      <c r="V27" s="2" t="s">
        <v>106</v>
      </c>
      <c r="W27" s="2" t="s">
        <v>107</v>
      </c>
      <c r="X27" s="2" t="s">
        <v>108</v>
      </c>
      <c r="Y27" s="2" t="s">
        <v>109</v>
      </c>
      <c r="Z27" s="10">
        <v>81.22</v>
      </c>
      <c r="AA27">
        <f t="shared" si="2"/>
        <v>81.231040601231996</v>
      </c>
    </row>
    <row r="28" spans="2:27" ht="15" thickBot="1" x14ac:dyDescent="0.35">
      <c r="B28" t="s">
        <v>203</v>
      </c>
      <c r="C28">
        <f>INDEX(LINEST(D2:D20,C2:C20^{1,2,3,4,5,6}),1,3)</f>
        <v>5.2764123657861223E-10</v>
      </c>
      <c r="E28" t="s">
        <v>203</v>
      </c>
      <c r="F28">
        <f>INDEX(LINEST(E2:E20,C2:C20^{1,2,3,4,5,6}),1,3)</f>
        <v>-2.5866572331881453E-11</v>
      </c>
      <c r="H28" t="s">
        <v>203</v>
      </c>
      <c r="I28">
        <f>INDEX(LINEST(Z6:Z45,T6:T45^{1,2,3,4,5,6}),1,3)</f>
        <v>4.9120419922088377E-18</v>
      </c>
      <c r="S28" s="2">
        <v>7000</v>
      </c>
      <c r="T28" s="2">
        <v>2136</v>
      </c>
      <c r="U28" s="2">
        <v>1</v>
      </c>
      <c r="V28" s="2" t="s">
        <v>111</v>
      </c>
      <c r="W28" s="2" t="s">
        <v>112</v>
      </c>
      <c r="X28" s="2" t="s">
        <v>113</v>
      </c>
      <c r="Y28" s="2" t="s">
        <v>114</v>
      </c>
      <c r="Z28" s="10">
        <v>78.19</v>
      </c>
      <c r="AA28">
        <f t="shared" si="2"/>
        <v>78.22049661209185</v>
      </c>
    </row>
    <row r="29" spans="2:27" ht="15" thickBot="1" x14ac:dyDescent="0.35">
      <c r="B29" t="s">
        <v>197</v>
      </c>
      <c r="C29">
        <f>INDEX(LINEST(D2:D20,C2:C20^{1,2,3,4,5,6}),1,4)</f>
        <v>3.9015816955125108E-7</v>
      </c>
      <c r="E29" t="s">
        <v>197</v>
      </c>
      <c r="F29">
        <f>INDEX(LINEST(E2:E20,C2:C20^{1,2,3,4,5,6}),1,4)</f>
        <v>2.3912011986377759E-5</v>
      </c>
      <c r="H29" t="s">
        <v>197</v>
      </c>
      <c r="I29">
        <f>INDEX(LINEST(Z6:Z45,T6:T45^{1,2,3,4,5,6}),1,4)</f>
        <v>-9.7201405144324552E-12</v>
      </c>
      <c r="S29" s="2">
        <v>8000</v>
      </c>
      <c r="T29" s="2">
        <v>2441</v>
      </c>
      <c r="U29" s="2">
        <v>-1</v>
      </c>
      <c r="V29" s="2" t="s">
        <v>116</v>
      </c>
      <c r="W29" s="2" t="s">
        <v>117</v>
      </c>
      <c r="X29" s="2" t="s">
        <v>118</v>
      </c>
      <c r="Y29" s="2" t="s">
        <v>119</v>
      </c>
      <c r="Z29" s="10">
        <v>75.22</v>
      </c>
      <c r="AA29">
        <f t="shared" si="2"/>
        <v>75.298171746492216</v>
      </c>
    </row>
    <row r="30" spans="2:27" ht="15" thickBot="1" x14ac:dyDescent="0.35">
      <c r="B30" t="s">
        <v>198</v>
      </c>
      <c r="C30">
        <f>INDEX(LINEST(D2:D20,C2:C20^{1,2,3,4,5,6}),1,5)</f>
        <v>1.1202865413423576E-5</v>
      </c>
      <c r="E30" t="s">
        <v>198</v>
      </c>
      <c r="F30">
        <f>INDEX(LINEST(E2:E20,C2:C20^{1,2,3,4,5,6}),1,5)</f>
        <v>-6.5443738896626023E-3</v>
      </c>
      <c r="H30" t="s">
        <v>198</v>
      </c>
      <c r="I30">
        <f>INDEX(LINEST(Z6:Z45,T6:T45^{1,2,3,4,5,6}),1,5)</f>
        <v>5.3617582645397644E-7</v>
      </c>
      <c r="S30" s="2">
        <v>9000</v>
      </c>
      <c r="T30" s="2">
        <v>2746</v>
      </c>
      <c r="U30" s="2">
        <v>-3</v>
      </c>
      <c r="V30" s="2" t="s">
        <v>121</v>
      </c>
      <c r="W30" s="2" t="s">
        <v>122</v>
      </c>
      <c r="X30" s="2" t="s">
        <v>123</v>
      </c>
      <c r="Y30" s="2" t="s">
        <v>124</v>
      </c>
      <c r="Z30" s="10">
        <v>72.400000000000006</v>
      </c>
      <c r="AA30">
        <f t="shared" si="2"/>
        <v>72.462432051209817</v>
      </c>
    </row>
    <row r="31" spans="2:27" ht="15" thickBot="1" x14ac:dyDescent="0.35">
      <c r="B31" t="s">
        <v>199</v>
      </c>
      <c r="C31">
        <f>INDEX(LINEST(D2:D20,C2:C20^{1,2,3,4,5,6}),1,6)</f>
        <v>4.7276863190953846E-4</v>
      </c>
      <c r="E31" t="s">
        <v>199</v>
      </c>
      <c r="F31">
        <f>INDEX(LINEST(E2:E20,C2:C20^{1,2,3,4,5,6}),1,6)</f>
        <v>3.2332102527659654E-2</v>
      </c>
      <c r="H31" t="s">
        <v>199</v>
      </c>
      <c r="I31">
        <f>INDEX(LINEST(Z6:Z45,T6:T45^{1,2,3,4,5,6}),1,6)</f>
        <v>-1.1882964202594616E-2</v>
      </c>
      <c r="S31" s="2">
        <v>10000</v>
      </c>
      <c r="T31" s="2">
        <v>3050</v>
      </c>
      <c r="U31" s="2">
        <v>-5</v>
      </c>
      <c r="V31" s="2" t="s">
        <v>126</v>
      </c>
      <c r="W31" s="2" t="s">
        <v>127</v>
      </c>
      <c r="X31" s="2" t="s">
        <v>128</v>
      </c>
      <c r="Y31" s="2" t="s">
        <v>129</v>
      </c>
      <c r="Z31" s="10">
        <v>69.64</v>
      </c>
      <c r="AA31">
        <f t="shared" si="2"/>
        <v>69.720530182576198</v>
      </c>
    </row>
    <row r="32" spans="2:27" ht="15" thickBot="1" x14ac:dyDescent="0.35">
      <c r="B32" t="s">
        <v>200</v>
      </c>
      <c r="C32">
        <f>INDEX(LINEST(D2:D20,C2:C20^{1,2,3,4,5,6}),1,7)</f>
        <v>6.0692295190322709E-3</v>
      </c>
      <c r="E32" t="s">
        <v>200</v>
      </c>
      <c r="F32">
        <f>INDEX(LINEST(E2:E20,C2:C20^{1,2,3,4,5,6}),1,7)</f>
        <v>999.99259111466074</v>
      </c>
      <c r="H32" t="s">
        <v>200</v>
      </c>
      <c r="I32">
        <f>INDEX(LINEST(Z6:Z45,T6:T45^{1,2,3,4,5,6}),1,7)</f>
        <v>101.25076772266934</v>
      </c>
      <c r="S32" s="2">
        <v>15000</v>
      </c>
      <c r="T32" s="2">
        <v>4577</v>
      </c>
      <c r="U32" s="2">
        <v>-14</v>
      </c>
      <c r="V32" s="2" t="s">
        <v>131</v>
      </c>
      <c r="W32" s="2" t="s">
        <v>132</v>
      </c>
      <c r="X32" s="2" t="s">
        <v>133</v>
      </c>
      <c r="Y32" s="2" t="s">
        <v>134</v>
      </c>
      <c r="Z32" s="10">
        <v>57.16</v>
      </c>
      <c r="AA32">
        <f t="shared" si="2"/>
        <v>57.16784737239945</v>
      </c>
    </row>
    <row r="33" spans="19:27" ht="15" thickBot="1" x14ac:dyDescent="0.35">
      <c r="S33" s="2">
        <v>20000</v>
      </c>
      <c r="T33" s="2">
        <v>6102</v>
      </c>
      <c r="U33" s="2">
        <v>-24</v>
      </c>
      <c r="V33" s="2" t="s">
        <v>136</v>
      </c>
      <c r="W33" s="2" t="s">
        <v>137</v>
      </c>
      <c r="X33" s="2" t="s">
        <v>138</v>
      </c>
      <c r="Y33" s="2" t="s">
        <v>139</v>
      </c>
      <c r="Z33" s="10">
        <v>46.61</v>
      </c>
      <c r="AA33">
        <f t="shared" si="2"/>
        <v>46.515776211457627</v>
      </c>
    </row>
    <row r="34" spans="19:27" ht="15" thickBot="1" x14ac:dyDescent="0.35">
      <c r="S34" s="2">
        <v>25000</v>
      </c>
      <c r="T34" s="2">
        <v>7628</v>
      </c>
      <c r="U34" s="2">
        <v>-34</v>
      </c>
      <c r="V34" s="2" t="s">
        <v>141</v>
      </c>
      <c r="W34" s="2" t="s">
        <v>142</v>
      </c>
      <c r="X34" s="2" t="s">
        <v>143</v>
      </c>
      <c r="Y34" s="2" t="s">
        <v>144</v>
      </c>
      <c r="Z34" s="10">
        <v>37.65</v>
      </c>
      <c r="AA34">
        <f t="shared" si="2"/>
        <v>37.545430484532787</v>
      </c>
    </row>
    <row r="35" spans="19:27" ht="15" thickBot="1" x14ac:dyDescent="0.35">
      <c r="S35" s="2">
        <v>30000</v>
      </c>
      <c r="T35" s="2">
        <v>9153</v>
      </c>
      <c r="U35" s="2">
        <v>-44</v>
      </c>
      <c r="V35" s="3">
        <v>8903</v>
      </c>
      <c r="W35" s="2" t="s">
        <v>146</v>
      </c>
      <c r="X35" s="2" t="s">
        <v>147</v>
      </c>
      <c r="Y35" s="2" t="s">
        <v>148</v>
      </c>
      <c r="Z35" s="10">
        <v>30.13</v>
      </c>
      <c r="AA35">
        <f t="shared" si="2"/>
        <v>30.078851904240139</v>
      </c>
    </row>
    <row r="36" spans="19:27" ht="15" thickBot="1" x14ac:dyDescent="0.35">
      <c r="S36" s="2">
        <v>35000</v>
      </c>
      <c r="T36" s="2">
        <v>10679</v>
      </c>
      <c r="U36" s="2">
        <v>-54</v>
      </c>
      <c r="V36" s="2" t="s">
        <v>150</v>
      </c>
      <c r="W36" s="2" t="s">
        <v>151</v>
      </c>
      <c r="X36" s="2" t="s">
        <v>152</v>
      </c>
      <c r="Y36" s="2" t="s">
        <v>153</v>
      </c>
      <c r="Z36" s="10">
        <v>23.93</v>
      </c>
      <c r="AA36">
        <f t="shared" si="2"/>
        <v>23.923782810954961</v>
      </c>
    </row>
    <row r="37" spans="19:27" ht="15" thickBot="1" x14ac:dyDescent="0.35">
      <c r="S37" s="2">
        <v>40000</v>
      </c>
      <c r="T37" s="2">
        <v>12204</v>
      </c>
      <c r="U37" s="2">
        <v>-57</v>
      </c>
      <c r="V37" s="3">
        <v>5558</v>
      </c>
      <c r="W37" s="2" t="s">
        <v>155</v>
      </c>
      <c r="X37" s="2" t="s">
        <v>156</v>
      </c>
      <c r="Y37" s="2" t="s">
        <v>157</v>
      </c>
      <c r="Z37" s="10">
        <v>18.82</v>
      </c>
      <c r="AA37">
        <f t="shared" si="2"/>
        <v>18.914606245791731</v>
      </c>
    </row>
    <row r="38" spans="19:27" ht="15" thickBot="1" x14ac:dyDescent="0.35">
      <c r="S38" s="2">
        <v>45000</v>
      </c>
      <c r="T38" s="2">
        <v>13730</v>
      </c>
      <c r="U38" s="2">
        <v>-57</v>
      </c>
      <c r="V38" s="3">
        <v>4375</v>
      </c>
      <c r="W38" s="2" t="s">
        <v>159</v>
      </c>
      <c r="X38" s="2" t="s">
        <v>160</v>
      </c>
      <c r="Y38" s="2" t="s">
        <v>161</v>
      </c>
      <c r="Z38" s="10">
        <v>14.82</v>
      </c>
      <c r="AA38">
        <f t="shared" si="2"/>
        <v>14.880713568900291</v>
      </c>
    </row>
    <row r="39" spans="19:27" ht="15" thickBot="1" x14ac:dyDescent="0.35">
      <c r="S39" s="2">
        <v>50000</v>
      </c>
      <c r="T39" s="2">
        <v>15255</v>
      </c>
      <c r="U39" s="2">
        <v>-57</v>
      </c>
      <c r="V39" s="3">
        <v>3444</v>
      </c>
      <c r="W39" s="2" t="s">
        <v>163</v>
      </c>
      <c r="X39" s="2" t="s">
        <v>164</v>
      </c>
      <c r="Y39" s="2" t="s">
        <v>165</v>
      </c>
      <c r="Z39" s="10">
        <v>11.65</v>
      </c>
      <c r="AA39">
        <f t="shared" si="2"/>
        <v>11.674401949519364</v>
      </c>
    </row>
    <row r="40" spans="19:27" ht="15" thickBot="1" x14ac:dyDescent="0.35">
      <c r="S40" s="2">
        <v>55000</v>
      </c>
      <c r="T40" s="2">
        <v>16781</v>
      </c>
      <c r="U40" s="2">
        <v>-57</v>
      </c>
      <c r="V40" s="3">
        <v>2712</v>
      </c>
      <c r="W40" s="2" t="s">
        <v>167</v>
      </c>
      <c r="X40" s="2" t="s">
        <v>168</v>
      </c>
      <c r="Y40" s="2" t="s">
        <v>169</v>
      </c>
      <c r="Z40" s="10">
        <v>9.17</v>
      </c>
      <c r="AA40">
        <f t="shared" si="2"/>
        <v>9.1503304621384274</v>
      </c>
    </row>
    <row r="41" spans="19:27" ht="15" thickBot="1" x14ac:dyDescent="0.35">
      <c r="S41" s="2">
        <v>60000</v>
      </c>
      <c r="T41" s="2">
        <v>18306</v>
      </c>
      <c r="U41" s="2">
        <v>-57</v>
      </c>
      <c r="V41" s="3">
        <v>2135</v>
      </c>
      <c r="W41" s="2" t="s">
        <v>171</v>
      </c>
      <c r="X41" s="2" t="s">
        <v>172</v>
      </c>
      <c r="Y41" s="2" t="s">
        <v>173</v>
      </c>
      <c r="Z41" s="10">
        <v>7.24</v>
      </c>
      <c r="AA41">
        <f t="shared" si="2"/>
        <v>7.1837949401161438</v>
      </c>
    </row>
    <row r="42" spans="19:27" ht="15" thickBot="1" x14ac:dyDescent="0.35">
      <c r="S42" s="2">
        <v>70000</v>
      </c>
      <c r="T42" s="2">
        <v>21357</v>
      </c>
      <c r="U42" s="2">
        <v>-55</v>
      </c>
      <c r="V42" s="3">
        <v>1325</v>
      </c>
      <c r="W42" s="2" t="s">
        <v>175</v>
      </c>
      <c r="X42" s="2" t="s">
        <v>176</v>
      </c>
      <c r="Y42" s="2" t="s">
        <v>176</v>
      </c>
      <c r="Z42" s="10">
        <v>4.49</v>
      </c>
      <c r="AA42">
        <f t="shared" si="2"/>
        <v>4.4760558897982321</v>
      </c>
    </row>
    <row r="43" spans="19:27" ht="15" thickBot="1" x14ac:dyDescent="0.35">
      <c r="S43" s="2">
        <v>80000</v>
      </c>
      <c r="T43" s="2">
        <v>24408</v>
      </c>
      <c r="U43" s="2">
        <v>-52</v>
      </c>
      <c r="V43" s="2" t="s">
        <v>178</v>
      </c>
      <c r="W43" s="2" t="s">
        <v>179</v>
      </c>
      <c r="X43" s="2" t="s">
        <v>180</v>
      </c>
      <c r="Y43" s="2" t="s">
        <v>180</v>
      </c>
      <c r="Z43" s="11">
        <v>2.8</v>
      </c>
      <c r="AA43">
        <f t="shared" si="2"/>
        <v>2.8226518924113009</v>
      </c>
    </row>
    <row r="44" spans="19:27" ht="15" thickBot="1" x14ac:dyDescent="0.35">
      <c r="S44" s="2">
        <v>90000</v>
      </c>
      <c r="T44" s="2">
        <v>27459</v>
      </c>
      <c r="U44" s="2">
        <v>-59</v>
      </c>
      <c r="V44" s="2" t="s">
        <v>182</v>
      </c>
      <c r="W44" s="2" t="s">
        <v>183</v>
      </c>
      <c r="X44" s="2" t="s">
        <v>184</v>
      </c>
      <c r="Y44" s="2" t="s">
        <v>184</v>
      </c>
      <c r="Z44" s="11">
        <v>1.76</v>
      </c>
      <c r="AA44">
        <f t="shared" si="2"/>
        <v>1.7606882754076025</v>
      </c>
    </row>
    <row r="45" spans="19:27" ht="15" thickBot="1" x14ac:dyDescent="0.35">
      <c r="S45" s="2">
        <v>100000</v>
      </c>
      <c r="T45" s="2">
        <v>30510</v>
      </c>
      <c r="U45" s="2">
        <v>-46</v>
      </c>
      <c r="V45" s="2" t="s">
        <v>186</v>
      </c>
      <c r="W45" s="2" t="s">
        <v>187</v>
      </c>
      <c r="X45" s="2" t="s">
        <v>188</v>
      </c>
      <c r="Y45" s="2" t="s">
        <v>188</v>
      </c>
      <c r="Z45" s="11">
        <v>1.1200000000000001</v>
      </c>
      <c r="AA45">
        <f t="shared" si="2"/>
        <v>1.1173105496922915</v>
      </c>
    </row>
  </sheetData>
  <mergeCells count="4">
    <mergeCell ref="S3:Z3"/>
    <mergeCell ref="S4:T4"/>
    <mergeCell ref="V4:W4"/>
    <mergeCell ref="X4:Z4"/>
  </mergeCells>
  <pageMargins left="0.7" right="0.7" top="0.75" bottom="0.75" header="0.3" footer="0.3"/>
  <pageSetup paperSize="9"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5"/>
  <sheetViews>
    <sheetView zoomScale="115" zoomScaleNormal="115" zoomScaleSheetLayoutView="100" workbookViewId="0">
      <selection activeCell="F7" sqref="F7"/>
    </sheetView>
  </sheetViews>
  <sheetFormatPr defaultRowHeight="14.4" x14ac:dyDescent="0.3"/>
  <sheetData>
    <row r="1" spans="1:5" ht="38.25" customHeight="1" thickBot="1" x14ac:dyDescent="0.35"/>
    <row r="2" spans="1:5" ht="15" thickBot="1" x14ac:dyDescent="0.35">
      <c r="A2" s="50" t="s">
        <v>194</v>
      </c>
      <c r="B2" s="51"/>
      <c r="C2" s="52"/>
      <c r="D2" s="52"/>
      <c r="E2" s="53"/>
    </row>
    <row r="3" spans="1:5" ht="30.75" customHeight="1" thickBot="1" x14ac:dyDescent="0.35">
      <c r="A3" s="54" t="s">
        <v>195</v>
      </c>
      <c r="B3" s="55"/>
      <c r="C3" s="58" t="s">
        <v>6</v>
      </c>
      <c r="D3" s="59"/>
      <c r="E3" s="60"/>
    </row>
    <row r="4" spans="1:5" ht="16.8" thickBot="1" x14ac:dyDescent="0.35">
      <c r="A4" s="8" t="s">
        <v>7</v>
      </c>
      <c r="B4" s="8" t="s">
        <v>8</v>
      </c>
      <c r="C4" s="8" t="s">
        <v>12</v>
      </c>
      <c r="D4" s="8" t="s">
        <v>196</v>
      </c>
      <c r="E4" s="8" t="s">
        <v>13</v>
      </c>
    </row>
    <row r="5" spans="1:5" ht="15" thickBot="1" x14ac:dyDescent="0.35">
      <c r="A5" s="2">
        <v>-5000</v>
      </c>
      <c r="B5" s="2">
        <v>-1526</v>
      </c>
      <c r="C5" s="2" t="s">
        <v>16</v>
      </c>
      <c r="D5" s="3">
        <v>1229</v>
      </c>
      <c r="E5" s="2" t="s">
        <v>17</v>
      </c>
    </row>
    <row r="6" spans="1:5" ht="15" thickBot="1" x14ac:dyDescent="0.35">
      <c r="A6" s="2">
        <v>-4500</v>
      </c>
      <c r="B6" s="2">
        <v>-1373</v>
      </c>
      <c r="C6" s="2" t="s">
        <v>20</v>
      </c>
      <c r="D6" s="3">
        <v>1209</v>
      </c>
      <c r="E6" s="2" t="s">
        <v>21</v>
      </c>
    </row>
    <row r="7" spans="1:5" ht="15" thickBot="1" x14ac:dyDescent="0.35">
      <c r="A7" s="2">
        <v>-4000</v>
      </c>
      <c r="B7" s="2">
        <v>-1220</v>
      </c>
      <c r="C7" s="2" t="s">
        <v>24</v>
      </c>
      <c r="D7" s="3">
        <v>1188</v>
      </c>
      <c r="E7" s="2" t="s">
        <v>25</v>
      </c>
    </row>
    <row r="8" spans="1:5" ht="15" thickBot="1" x14ac:dyDescent="0.35">
      <c r="A8" s="2">
        <v>-3500</v>
      </c>
      <c r="B8" s="2">
        <v>-1068</v>
      </c>
      <c r="C8" s="2" t="s">
        <v>28</v>
      </c>
      <c r="D8" s="3">
        <v>1169</v>
      </c>
      <c r="E8" s="2" t="s">
        <v>29</v>
      </c>
    </row>
    <row r="9" spans="1:5" ht="15" thickBot="1" x14ac:dyDescent="0.35">
      <c r="A9" s="2">
        <v>-3000</v>
      </c>
      <c r="B9" s="2">
        <v>-915</v>
      </c>
      <c r="C9" s="2" t="s">
        <v>32</v>
      </c>
      <c r="D9" s="3">
        <v>1149</v>
      </c>
      <c r="E9" s="2" t="s">
        <v>33</v>
      </c>
    </row>
    <row r="10" spans="1:5" ht="15" thickBot="1" x14ac:dyDescent="0.35">
      <c r="A10" s="2">
        <v>-2500</v>
      </c>
      <c r="B10" s="2">
        <v>-763</v>
      </c>
      <c r="C10" s="2" t="s">
        <v>36</v>
      </c>
      <c r="D10" s="3">
        <v>1129</v>
      </c>
      <c r="E10" s="2" t="s">
        <v>37</v>
      </c>
    </row>
    <row r="11" spans="1:5" ht="15" thickBot="1" x14ac:dyDescent="0.35">
      <c r="A11" s="2">
        <v>-2000</v>
      </c>
      <c r="B11" s="2">
        <v>-610</v>
      </c>
      <c r="C11" s="2" t="s">
        <v>40</v>
      </c>
      <c r="D11" s="3">
        <v>1109</v>
      </c>
      <c r="E11" s="2" t="s">
        <v>41</v>
      </c>
    </row>
    <row r="12" spans="1:5" ht="15" thickBot="1" x14ac:dyDescent="0.35">
      <c r="A12" s="2">
        <v>-1500</v>
      </c>
      <c r="B12" s="2">
        <v>-458</v>
      </c>
      <c r="C12" s="2" t="s">
        <v>44</v>
      </c>
      <c r="D12" s="3">
        <v>1091</v>
      </c>
      <c r="E12" s="2" t="s">
        <v>45</v>
      </c>
    </row>
    <row r="13" spans="1:5" ht="15" thickBot="1" x14ac:dyDescent="0.35">
      <c r="A13" s="2">
        <v>-1000</v>
      </c>
      <c r="B13" s="2">
        <v>-305</v>
      </c>
      <c r="C13" s="2" t="s">
        <v>48</v>
      </c>
      <c r="D13" s="3">
        <v>1071</v>
      </c>
      <c r="E13" s="2" t="s">
        <v>49</v>
      </c>
    </row>
    <row r="14" spans="1:5" ht="15" thickBot="1" x14ac:dyDescent="0.35">
      <c r="A14" s="2">
        <v>-500</v>
      </c>
      <c r="B14" s="2">
        <v>-153</v>
      </c>
      <c r="C14" s="2" t="s">
        <v>52</v>
      </c>
      <c r="D14" s="3">
        <v>1052</v>
      </c>
      <c r="E14" s="2" t="s">
        <v>53</v>
      </c>
    </row>
    <row r="15" spans="1:5" ht="15" thickBot="1" x14ac:dyDescent="0.35">
      <c r="A15" s="2">
        <v>0</v>
      </c>
      <c r="B15" s="2">
        <v>0</v>
      </c>
      <c r="C15" s="3">
        <v>14696</v>
      </c>
      <c r="D15" s="3">
        <v>10333</v>
      </c>
      <c r="E15" s="2" t="s">
        <v>56</v>
      </c>
    </row>
    <row r="16" spans="1:5" ht="15" thickBot="1" x14ac:dyDescent="0.35">
      <c r="A16" s="2">
        <v>500</v>
      </c>
      <c r="B16" s="2">
        <v>153</v>
      </c>
      <c r="C16" s="2" t="s">
        <v>59</v>
      </c>
      <c r="D16" s="3">
        <v>1015</v>
      </c>
      <c r="E16" s="2" t="s">
        <v>60</v>
      </c>
    </row>
    <row r="17" spans="1:5" ht="15" thickBot="1" x14ac:dyDescent="0.35">
      <c r="A17" s="2">
        <v>1000</v>
      </c>
      <c r="B17" s="2">
        <v>305</v>
      </c>
      <c r="C17" s="2" t="s">
        <v>63</v>
      </c>
      <c r="D17" s="2" t="s">
        <v>64</v>
      </c>
      <c r="E17" s="2" t="s">
        <v>65</v>
      </c>
    </row>
    <row r="18" spans="1:5" ht="15" thickBot="1" x14ac:dyDescent="0.35">
      <c r="A18" s="2">
        <v>1500</v>
      </c>
      <c r="B18" s="2">
        <v>458</v>
      </c>
      <c r="C18" s="2" t="s">
        <v>68</v>
      </c>
      <c r="D18" s="2" t="s">
        <v>69</v>
      </c>
      <c r="E18" s="2" t="s">
        <v>70</v>
      </c>
    </row>
    <row r="19" spans="1:5" ht="15" thickBot="1" x14ac:dyDescent="0.35">
      <c r="A19" s="2">
        <v>2000</v>
      </c>
      <c r="B19" s="2">
        <v>610</v>
      </c>
      <c r="C19" s="2" t="s">
        <v>73</v>
      </c>
      <c r="D19" s="2" t="s">
        <v>74</v>
      </c>
      <c r="E19" s="2" t="s">
        <v>75</v>
      </c>
    </row>
    <row r="20" spans="1:5" ht="15" thickBot="1" x14ac:dyDescent="0.35">
      <c r="A20" s="2">
        <v>2500</v>
      </c>
      <c r="B20" s="2">
        <v>763</v>
      </c>
      <c r="C20" s="2" t="s">
        <v>78</v>
      </c>
      <c r="D20" s="2" t="s">
        <v>79</v>
      </c>
      <c r="E20" s="2" t="s">
        <v>80</v>
      </c>
    </row>
    <row r="21" spans="1:5" ht="15" thickBot="1" x14ac:dyDescent="0.35">
      <c r="A21" s="2">
        <v>3000</v>
      </c>
      <c r="B21" s="2">
        <v>915</v>
      </c>
      <c r="C21" s="2" t="s">
        <v>83</v>
      </c>
      <c r="D21" s="2" t="s">
        <v>84</v>
      </c>
      <c r="E21" s="2" t="s">
        <v>85</v>
      </c>
    </row>
    <row r="22" spans="1:5" ht="15" thickBot="1" x14ac:dyDescent="0.35">
      <c r="A22" s="2">
        <v>3500</v>
      </c>
      <c r="B22" s="2">
        <v>1068</v>
      </c>
      <c r="C22" s="2" t="s">
        <v>88</v>
      </c>
      <c r="D22" s="2" t="s">
        <v>89</v>
      </c>
      <c r="E22" s="2" t="s">
        <v>90</v>
      </c>
    </row>
    <row r="23" spans="1:5" ht="15" thickBot="1" x14ac:dyDescent="0.35">
      <c r="A23" s="2">
        <v>4000</v>
      </c>
      <c r="B23" s="2">
        <v>1220</v>
      </c>
      <c r="C23" s="2" t="s">
        <v>93</v>
      </c>
      <c r="D23" s="2" t="s">
        <v>94</v>
      </c>
      <c r="E23" s="2" t="s">
        <v>95</v>
      </c>
    </row>
    <row r="24" spans="1:5" ht="15" thickBot="1" x14ac:dyDescent="0.35">
      <c r="A24" s="2">
        <v>4500</v>
      </c>
      <c r="B24" s="2">
        <v>1373</v>
      </c>
      <c r="C24" s="2" t="s">
        <v>98</v>
      </c>
      <c r="D24" s="2" t="s">
        <v>99</v>
      </c>
      <c r="E24" s="2" t="s">
        <v>100</v>
      </c>
    </row>
    <row r="25" spans="1:5" ht="15" thickBot="1" x14ac:dyDescent="0.35">
      <c r="A25" s="2">
        <v>5000</v>
      </c>
      <c r="B25" s="2">
        <v>1526</v>
      </c>
      <c r="C25" s="2" t="s">
        <v>103</v>
      </c>
      <c r="D25" s="2" t="s">
        <v>104</v>
      </c>
      <c r="E25" s="2" t="s">
        <v>105</v>
      </c>
    </row>
    <row r="26" spans="1:5" ht="15" thickBot="1" x14ac:dyDescent="0.35">
      <c r="A26" s="2">
        <v>6000</v>
      </c>
      <c r="B26" s="2">
        <v>1831</v>
      </c>
      <c r="C26" s="2" t="s">
        <v>108</v>
      </c>
      <c r="D26" s="2" t="s">
        <v>109</v>
      </c>
      <c r="E26" s="2" t="s">
        <v>110</v>
      </c>
    </row>
    <row r="27" spans="1:5" ht="15" thickBot="1" x14ac:dyDescent="0.35">
      <c r="A27" s="2">
        <v>7000</v>
      </c>
      <c r="B27" s="2">
        <v>2136</v>
      </c>
      <c r="C27" s="2" t="s">
        <v>113</v>
      </c>
      <c r="D27" s="2" t="s">
        <v>114</v>
      </c>
      <c r="E27" s="2" t="s">
        <v>115</v>
      </c>
    </row>
    <row r="28" spans="1:5" ht="15" thickBot="1" x14ac:dyDescent="0.35">
      <c r="A28" s="2">
        <v>8000</v>
      </c>
      <c r="B28" s="2">
        <v>2441</v>
      </c>
      <c r="C28" s="2" t="s">
        <v>118</v>
      </c>
      <c r="D28" s="2" t="s">
        <v>119</v>
      </c>
      <c r="E28" s="2" t="s">
        <v>120</v>
      </c>
    </row>
    <row r="29" spans="1:5" ht="15" thickBot="1" x14ac:dyDescent="0.35">
      <c r="A29" s="2">
        <v>9000</v>
      </c>
      <c r="B29" s="2">
        <v>2746</v>
      </c>
      <c r="C29" s="2" t="s">
        <v>123</v>
      </c>
      <c r="D29" s="2" t="s">
        <v>124</v>
      </c>
      <c r="E29" s="2" t="s">
        <v>125</v>
      </c>
    </row>
    <row r="30" spans="1:5" ht="15" thickBot="1" x14ac:dyDescent="0.35">
      <c r="A30" s="2">
        <v>10000</v>
      </c>
      <c r="B30" s="2">
        <v>3050</v>
      </c>
      <c r="C30" s="2" t="s">
        <v>128</v>
      </c>
      <c r="D30" s="2" t="s">
        <v>129</v>
      </c>
      <c r="E30" s="2" t="s">
        <v>130</v>
      </c>
    </row>
    <row r="31" spans="1:5" ht="15" thickBot="1" x14ac:dyDescent="0.35">
      <c r="A31" s="2">
        <v>15000</v>
      </c>
      <c r="B31" s="2">
        <v>4577</v>
      </c>
      <c r="C31" s="2" t="s">
        <v>133</v>
      </c>
      <c r="D31" s="2" t="s">
        <v>134</v>
      </c>
      <c r="E31" s="2" t="s">
        <v>135</v>
      </c>
    </row>
    <row r="32" spans="1:5" ht="15" thickBot="1" x14ac:dyDescent="0.35">
      <c r="A32" s="2">
        <v>20000</v>
      </c>
      <c r="B32" s="2">
        <v>6102</v>
      </c>
      <c r="C32" s="2" t="s">
        <v>138</v>
      </c>
      <c r="D32" s="2" t="s">
        <v>139</v>
      </c>
      <c r="E32" s="2" t="s">
        <v>140</v>
      </c>
    </row>
    <row r="33" spans="1:5" ht="15" thickBot="1" x14ac:dyDescent="0.35">
      <c r="A33" s="2">
        <v>25000</v>
      </c>
      <c r="B33" s="2">
        <v>7628</v>
      </c>
      <c r="C33" s="2" t="s">
        <v>143</v>
      </c>
      <c r="D33" s="2" t="s">
        <v>144</v>
      </c>
      <c r="E33" s="2" t="s">
        <v>145</v>
      </c>
    </row>
    <row r="34" spans="1:5" ht="15" thickBot="1" x14ac:dyDescent="0.35">
      <c r="A34" s="2">
        <v>30000</v>
      </c>
      <c r="B34" s="2">
        <v>9153</v>
      </c>
      <c r="C34" s="2" t="s">
        <v>147</v>
      </c>
      <c r="D34" s="2" t="s">
        <v>148</v>
      </c>
      <c r="E34" s="2" t="s">
        <v>149</v>
      </c>
    </row>
    <row r="35" spans="1:5" ht="15" thickBot="1" x14ac:dyDescent="0.35">
      <c r="A35" s="2">
        <v>35000</v>
      </c>
      <c r="B35" s="2">
        <v>10679</v>
      </c>
      <c r="C35" s="2" t="s">
        <v>152</v>
      </c>
      <c r="D35" s="2" t="s">
        <v>153</v>
      </c>
      <c r="E35" s="2" t="s">
        <v>154</v>
      </c>
    </row>
    <row r="36" spans="1:5" ht="15" thickBot="1" x14ac:dyDescent="0.35">
      <c r="A36" s="2">
        <v>40000</v>
      </c>
      <c r="B36" s="2">
        <v>12204</v>
      </c>
      <c r="C36" s="2" t="s">
        <v>156</v>
      </c>
      <c r="D36" s="2" t="s">
        <v>157</v>
      </c>
      <c r="E36" s="2" t="s">
        <v>158</v>
      </c>
    </row>
    <row r="37" spans="1:5" ht="15" thickBot="1" x14ac:dyDescent="0.35">
      <c r="A37" s="2">
        <v>45000</v>
      </c>
      <c r="B37" s="2">
        <v>13730</v>
      </c>
      <c r="C37" s="2" t="s">
        <v>160</v>
      </c>
      <c r="D37" s="2" t="s">
        <v>161</v>
      </c>
      <c r="E37" s="2" t="s">
        <v>162</v>
      </c>
    </row>
    <row r="38" spans="1:5" ht="15" thickBot="1" x14ac:dyDescent="0.35">
      <c r="A38" s="2">
        <v>50000</v>
      </c>
      <c r="B38" s="2">
        <v>15255</v>
      </c>
      <c r="C38" s="2" t="s">
        <v>164</v>
      </c>
      <c r="D38" s="2" t="s">
        <v>165</v>
      </c>
      <c r="E38" s="2" t="s">
        <v>166</v>
      </c>
    </row>
    <row r="39" spans="1:5" ht="15" thickBot="1" x14ac:dyDescent="0.35">
      <c r="A39" s="2">
        <v>55000</v>
      </c>
      <c r="B39" s="2">
        <v>16781</v>
      </c>
      <c r="C39" s="2" t="s">
        <v>168</v>
      </c>
      <c r="D39" s="2" t="s">
        <v>169</v>
      </c>
      <c r="E39" s="2" t="s">
        <v>170</v>
      </c>
    </row>
    <row r="40" spans="1:5" ht="15" thickBot="1" x14ac:dyDescent="0.35">
      <c r="A40" s="2">
        <v>60000</v>
      </c>
      <c r="B40" s="2">
        <v>18306</v>
      </c>
      <c r="C40" s="2" t="s">
        <v>172</v>
      </c>
      <c r="D40" s="2" t="s">
        <v>173</v>
      </c>
      <c r="E40" s="2" t="s">
        <v>174</v>
      </c>
    </row>
    <row r="41" spans="1:5" ht="15" thickBot="1" x14ac:dyDescent="0.35">
      <c r="A41" s="2">
        <v>70000</v>
      </c>
      <c r="B41" s="2">
        <v>21357</v>
      </c>
      <c r="C41" s="2" t="s">
        <v>176</v>
      </c>
      <c r="D41" s="2" t="s">
        <v>176</v>
      </c>
      <c r="E41" s="2" t="s">
        <v>177</v>
      </c>
    </row>
    <row r="42" spans="1:5" ht="15" thickBot="1" x14ac:dyDescent="0.35">
      <c r="A42" s="2">
        <v>80000</v>
      </c>
      <c r="B42" s="2">
        <v>24408</v>
      </c>
      <c r="C42" s="2" t="s">
        <v>180</v>
      </c>
      <c r="D42" s="2" t="s">
        <v>180</v>
      </c>
      <c r="E42" s="2" t="s">
        <v>181</v>
      </c>
    </row>
    <row r="43" spans="1:5" ht="15" thickBot="1" x14ac:dyDescent="0.35">
      <c r="A43" s="2">
        <v>90000</v>
      </c>
      <c r="B43" s="2">
        <v>27459</v>
      </c>
      <c r="C43" s="2" t="s">
        <v>184</v>
      </c>
      <c r="D43" s="2" t="s">
        <v>184</v>
      </c>
      <c r="E43" s="2" t="s">
        <v>185</v>
      </c>
    </row>
    <row r="44" spans="1:5" x14ac:dyDescent="0.3">
      <c r="A44" s="20">
        <v>100000</v>
      </c>
      <c r="B44" s="20">
        <v>30510</v>
      </c>
      <c r="C44" s="20" t="s">
        <v>188</v>
      </c>
      <c r="D44" s="20" t="s">
        <v>188</v>
      </c>
      <c r="E44" s="20" t="s">
        <v>189</v>
      </c>
    </row>
    <row r="45" spans="1:5" x14ac:dyDescent="0.3">
      <c r="A45" s="61" t="s">
        <v>215</v>
      </c>
      <c r="B45" s="62"/>
      <c r="C45" s="62"/>
      <c r="D45" s="62"/>
      <c r="E45" s="63"/>
    </row>
  </sheetData>
  <sheetProtection password="D1C7" sheet="1" objects="1" scenarios="1"/>
  <mergeCells count="4">
    <mergeCell ref="A2:E2"/>
    <mergeCell ref="A3:B3"/>
    <mergeCell ref="C3:E3"/>
    <mergeCell ref="A45:E45"/>
  </mergeCells>
  <pageMargins left="0.7" right="0.7" top="0.75" bottom="0.75" header="0.3" footer="0.3"/>
  <pageSetup paperSize="9" scale="80" orientation="portrait" r:id="rId1"/>
  <colBreaks count="1" manualBreakCount="1">
    <brk id="12" max="1048575" man="1"/>
  </colBreaks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836284842F95146B0776E470EFA4007" ma:contentTypeVersion="4" ma:contentTypeDescription="Create a new document." ma:contentTypeScope="" ma:versionID="a49ef86887e0b7fdb25fef9fa4fca2aa">
  <xsd:schema xmlns:xsd="http://www.w3.org/2001/XMLSchema" xmlns:xs="http://www.w3.org/2001/XMLSchema" xmlns:p="http://schemas.microsoft.com/office/2006/metadata/properties" xmlns:ns1="http://schemas.microsoft.com/sharepoint/v3" xmlns:ns2="7ebccb67-cc8b-43a8-b521-e00aa10f99e4" targetNamespace="http://schemas.microsoft.com/office/2006/metadata/properties" ma:root="true" ma:fieldsID="ec62118ff8a3fa68204582cf771a83b7" ns1:_="" ns2:_="">
    <xsd:import namespace="http://schemas.microsoft.com/sharepoint/v3"/>
    <xsd:import namespace="7ebccb67-cc8b-43a8-b521-e00aa10f99e4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ingHintHash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bccb67-cc8b-43a8-b521-e00aa10f99e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1" nillable="true" ma:displayName="Sharing Hint Hash" ma:internalName="SharingHintHash" ma:readOnly="true">
      <xsd:simpleType>
        <xsd:restriction base="dms:Text"/>
      </xsd:simpleType>
    </xsd:element>
    <xsd:element name="SharedWithDetails" ma:index="12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8152569-4AC6-45FC-BBF2-344D5A6117A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B4AB08-B463-4EC1-A728-0412BBAD54CD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sharepoint/v3"/>
    <ds:schemaRef ds:uri="http://purl.org/dc/terms/"/>
    <ds:schemaRef ds:uri="http://schemas.openxmlformats.org/package/2006/metadata/core-properties"/>
    <ds:schemaRef ds:uri="7ebccb67-cc8b-43a8-b521-e00aa10f99e4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A06F788-04B8-4605-84EC-D8676D08C0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ebccb67-cc8b-43a8-b521-e00aa10f99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Dry Installed Pump</vt:lpstr>
      <vt:lpstr>Submerged Installed Pump</vt:lpstr>
      <vt:lpstr>values</vt:lpstr>
      <vt:lpstr>Reference Tables</vt:lpstr>
      <vt:lpstr>'Dry Installed Pump'!Print_Area</vt:lpstr>
      <vt:lpstr>'Reference Tables'!Print_Area</vt:lpstr>
      <vt:lpstr>'Submerged Installed Pump'!Print_Area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NPSH tool</dc:title>
  <dc:creator/>
  <cp:lastModifiedBy/>
  <dcterms:created xsi:type="dcterms:W3CDTF">2006-09-16T00:00:00Z</dcterms:created>
  <dcterms:modified xsi:type="dcterms:W3CDTF">2021-05-19T14:45:59Z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0x010100A836284842F95146B0776E470EFA4007</vt:lpwstr>
  </property>
</Properties>
</file>